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5" windowWidth="10320" windowHeight="6975" tabRatio="828" activeTab="18"/>
  </bookViews>
  <sheets>
    <sheet name="Summary" sheetId="60" r:id="rId1"/>
    <sheet name="MO" sheetId="1" r:id="rId2"/>
    <sheet name="MO(Misc.)" sheetId="4" r:id="rId3"/>
    <sheet name="SB(L)" sheetId="8" r:id="rId4"/>
    <sheet name="SB(S)" sheetId="9" r:id="rId5"/>
    <sheet name="MPDC" sheetId="13" r:id="rId6"/>
    <sheet name="LCR" sheetId="10" r:id="rId7"/>
    <sheet name="MBO" sheetId="12" r:id="rId8"/>
    <sheet name="Accounting" sheetId="11" r:id="rId9"/>
    <sheet name="MTO" sheetId="7" r:id="rId10"/>
    <sheet name="Assessor" sheetId="20" r:id="rId11"/>
    <sheet name="MHO" sheetId="16" r:id="rId12"/>
    <sheet name="MSWD" sheetId="17" r:id="rId13"/>
    <sheet name="Agri" sheetId="19" r:id="rId14"/>
    <sheet name="MEO" sheetId="18" r:id="rId15"/>
    <sheet name="MENRO" sheetId="39" r:id="rId16"/>
    <sheet name="LDRRM" sheetId="40" r:id="rId17"/>
    <sheet name="MRKT" sheetId="41" r:id="rId18"/>
    <sheet name="piwas" sheetId="42" r:id="rId19"/>
    <sheet name="20%" sheetId="47" r:id="rId20"/>
    <sheet name="5%" sheetId="48" r:id="rId21"/>
    <sheet name="SB" sheetId="49" r:id="rId22"/>
    <sheet name="mpdc2018" sheetId="50" r:id="rId23"/>
    <sheet name="MPDC 2" sheetId="51" r:id="rId24"/>
    <sheet name="ASSESS" sheetId="52" r:id="rId25"/>
    <sheet name="MSWDO" sheetId="53" r:id="rId26"/>
    <sheet name="AGRI 2" sheetId="54" r:id="rId27"/>
    <sheet name="MENRO2" sheetId="55" r:id="rId28"/>
    <sheet name="LCPC" sheetId="56" r:id="rId29"/>
    <sheet name="PWD" sheetId="57" r:id="rId30"/>
    <sheet name="GAD" sheetId="58" r:id="rId31"/>
    <sheet name="Peace and Order" sheetId="5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44525"/>
  <fileRecoveryPr autoRecover="0"/>
</workbook>
</file>

<file path=xl/calcChain.xml><?xml version="1.0" encoding="utf-8"?>
<calcChain xmlns="http://schemas.openxmlformats.org/spreadsheetml/2006/main">
  <c r="H213" i="60" l="1"/>
  <c r="G213" i="60"/>
  <c r="F213" i="60"/>
  <c r="H209" i="60"/>
  <c r="G209" i="60"/>
  <c r="F209" i="60"/>
  <c r="D209" i="60"/>
  <c r="D214" i="60" s="1"/>
  <c r="H208" i="60"/>
  <c r="H214" i="60" s="1"/>
  <c r="G208" i="60"/>
  <c r="G214" i="60" s="1"/>
  <c r="F208" i="60"/>
  <c r="F214" i="60" s="1"/>
  <c r="E206" i="60"/>
  <c r="H205" i="60"/>
  <c r="E205" i="60"/>
  <c r="H204" i="60"/>
  <c r="E204" i="60"/>
  <c r="H203" i="60"/>
  <c r="E203" i="60"/>
  <c r="H202" i="60"/>
  <c r="E202" i="60"/>
  <c r="H201" i="60"/>
  <c r="E201" i="60"/>
  <c r="H200" i="60"/>
  <c r="E200" i="60"/>
  <c r="H199" i="60"/>
  <c r="E199" i="60"/>
  <c r="H198" i="60"/>
  <c r="E198" i="60"/>
  <c r="H197" i="60"/>
  <c r="F197" i="60"/>
  <c r="E197" i="60"/>
  <c r="H196" i="60"/>
  <c r="E196" i="60"/>
  <c r="F196" i="60" s="1"/>
  <c r="H195" i="60"/>
  <c r="E195" i="60"/>
  <c r="F195" i="60" s="1"/>
  <c r="G194" i="60"/>
  <c r="F194" i="60"/>
  <c r="H193" i="60"/>
  <c r="F193" i="60"/>
  <c r="G193" i="60" s="1"/>
  <c r="H192" i="60"/>
  <c r="F192" i="60"/>
  <c r="G192" i="60" s="1"/>
  <c r="F191" i="60"/>
  <c r="G191" i="60" s="1"/>
  <c r="D191" i="60"/>
  <c r="D206" i="60" s="1"/>
  <c r="H190" i="60"/>
  <c r="G190" i="60"/>
  <c r="F190" i="60"/>
  <c r="H189" i="60"/>
  <c r="F189" i="60"/>
  <c r="G189" i="60" s="1"/>
  <c r="H188" i="60"/>
  <c r="F188" i="60"/>
  <c r="G188" i="60" s="1"/>
  <c r="F187" i="60"/>
  <c r="G187" i="60" s="1"/>
  <c r="F186" i="60"/>
  <c r="G186" i="60" s="1"/>
  <c r="F185" i="60"/>
  <c r="G185" i="60" s="1"/>
  <c r="H184" i="60"/>
  <c r="H182" i="60" s="1"/>
  <c r="F184" i="60"/>
  <c r="G184" i="60" s="1"/>
  <c r="H183" i="60"/>
  <c r="F183" i="60"/>
  <c r="F182" i="60"/>
  <c r="G182" i="60" s="1"/>
  <c r="F179" i="60"/>
  <c r="E179" i="60"/>
  <c r="G179" i="60" s="1"/>
  <c r="A179" i="60"/>
  <c r="F178" i="60"/>
  <c r="E178" i="60"/>
  <c r="F177" i="60"/>
  <c r="E177" i="60"/>
  <c r="F176" i="60"/>
  <c r="E176" i="60"/>
  <c r="F175" i="60"/>
  <c r="E175" i="60"/>
  <c r="F174" i="60"/>
  <c r="G174" i="60" s="1"/>
  <c r="F173" i="60"/>
  <c r="G173" i="60" s="1"/>
  <c r="F172" i="60"/>
  <c r="E172" i="60"/>
  <c r="F171" i="60"/>
  <c r="G171" i="60" s="1"/>
  <c r="F170" i="60"/>
  <c r="E170" i="60"/>
  <c r="F169" i="60"/>
  <c r="G169" i="60" s="1"/>
  <c r="F168" i="60"/>
  <c r="E168" i="60"/>
  <c r="F167" i="60"/>
  <c r="G167" i="60" s="1"/>
  <c r="F166" i="60"/>
  <c r="G166" i="60" s="1"/>
  <c r="F165" i="60"/>
  <c r="G165" i="60" s="1"/>
  <c r="F164" i="60"/>
  <c r="G164" i="60" s="1"/>
  <c r="F163" i="60"/>
  <c r="G163" i="60" s="1"/>
  <c r="F162" i="60"/>
  <c r="E162" i="60"/>
  <c r="G162" i="60" s="1"/>
  <c r="F161" i="60"/>
  <c r="G161" i="60" s="1"/>
  <c r="F160" i="60"/>
  <c r="G160" i="60" s="1"/>
  <c r="F159" i="60"/>
  <c r="G159" i="60" s="1"/>
  <c r="F158" i="60"/>
  <c r="G158" i="60" s="1"/>
  <c r="F157" i="60"/>
  <c r="G157" i="60" s="1"/>
  <c r="F156" i="60"/>
  <c r="G156" i="60" s="1"/>
  <c r="F155" i="60"/>
  <c r="G155" i="60" s="1"/>
  <c r="F154" i="60"/>
  <c r="G154" i="60" s="1"/>
  <c r="F153" i="60"/>
  <c r="G153" i="60" s="1"/>
  <c r="D153" i="60"/>
  <c r="F152" i="60"/>
  <c r="E152" i="60"/>
  <c r="G152" i="60" s="1"/>
  <c r="F151" i="60"/>
  <c r="G151" i="60" s="1"/>
  <c r="F150" i="60"/>
  <c r="G150" i="60" s="1"/>
  <c r="F149" i="60"/>
  <c r="G149" i="60" s="1"/>
  <c r="F148" i="60"/>
  <c r="G148" i="60" s="1"/>
  <c r="F147" i="60"/>
  <c r="E147" i="60"/>
  <c r="G147" i="60" s="1"/>
  <c r="D147" i="60"/>
  <c r="F146" i="60"/>
  <c r="E146" i="60"/>
  <c r="D146" i="60"/>
  <c r="F145" i="60"/>
  <c r="E145" i="60"/>
  <c r="G145" i="60" s="1"/>
  <c r="D145" i="60"/>
  <c r="F144" i="60"/>
  <c r="E144" i="60"/>
  <c r="D144" i="60"/>
  <c r="F143" i="60"/>
  <c r="E143" i="60"/>
  <c r="G143" i="60" s="1"/>
  <c r="D143" i="60"/>
  <c r="F142" i="60"/>
  <c r="E142" i="60"/>
  <c r="D142" i="60"/>
  <c r="G141" i="60"/>
  <c r="H140" i="60"/>
  <c r="F140" i="60"/>
  <c r="E140" i="60"/>
  <c r="G140" i="60" s="1"/>
  <c r="D140" i="60"/>
  <c r="H139" i="60"/>
  <c r="F139" i="60"/>
  <c r="E139" i="60"/>
  <c r="G139" i="60" s="1"/>
  <c r="D139" i="60"/>
  <c r="H138" i="60"/>
  <c r="F138" i="60"/>
  <c r="E138" i="60"/>
  <c r="D138" i="60"/>
  <c r="H137" i="60"/>
  <c r="F137" i="60"/>
  <c r="E137" i="60"/>
  <c r="G137" i="60" s="1"/>
  <c r="D137" i="60"/>
  <c r="H136" i="60"/>
  <c r="F136" i="60"/>
  <c r="E136" i="60"/>
  <c r="G136" i="60" s="1"/>
  <c r="F135" i="60"/>
  <c r="E135" i="60"/>
  <c r="G135" i="60" s="1"/>
  <c r="F134" i="60"/>
  <c r="E134" i="60"/>
  <c r="H133" i="60"/>
  <c r="F133" i="60"/>
  <c r="E133" i="60"/>
  <c r="D133" i="60"/>
  <c r="H132" i="60"/>
  <c r="F132" i="60"/>
  <c r="E132" i="60"/>
  <c r="D132" i="60"/>
  <c r="H131" i="60"/>
  <c r="F131" i="60"/>
  <c r="E131" i="60"/>
  <c r="H130" i="60"/>
  <c r="F130" i="60"/>
  <c r="E130" i="60"/>
  <c r="G130" i="60" s="1"/>
  <c r="H129" i="60"/>
  <c r="F129" i="60"/>
  <c r="E129" i="60"/>
  <c r="H128" i="60"/>
  <c r="F128" i="60"/>
  <c r="E128" i="60"/>
  <c r="G128" i="60" s="1"/>
  <c r="H127" i="60"/>
  <c r="F127" i="60"/>
  <c r="E127" i="60"/>
  <c r="D127" i="60"/>
  <c r="F126" i="60"/>
  <c r="E126" i="60"/>
  <c r="G126" i="60" s="1"/>
  <c r="H125" i="60"/>
  <c r="F125" i="60"/>
  <c r="E125" i="60"/>
  <c r="F124" i="60"/>
  <c r="E124" i="60"/>
  <c r="F123" i="60"/>
  <c r="E123" i="60"/>
  <c r="D123" i="60"/>
  <c r="F122" i="60"/>
  <c r="E122" i="60"/>
  <c r="H121" i="60"/>
  <c r="F121" i="60"/>
  <c r="E121" i="60"/>
  <c r="D121" i="60"/>
  <c r="H120" i="60"/>
  <c r="F120" i="60"/>
  <c r="E120" i="60"/>
  <c r="D120" i="60"/>
  <c r="H119" i="60"/>
  <c r="F119" i="60"/>
  <c r="E119" i="60"/>
  <c r="D119" i="60"/>
  <c r="H118" i="60"/>
  <c r="F118" i="60"/>
  <c r="E118" i="60"/>
  <c r="H117" i="60"/>
  <c r="F117" i="60"/>
  <c r="G117" i="60" s="1"/>
  <c r="H116" i="60"/>
  <c r="F116" i="60"/>
  <c r="E116" i="60"/>
  <c r="D116" i="60"/>
  <c r="H115" i="60"/>
  <c r="F115" i="60"/>
  <c r="E115" i="60"/>
  <c r="D115" i="60"/>
  <c r="H114" i="60"/>
  <c r="F114" i="60"/>
  <c r="E114" i="60"/>
  <c r="D114" i="60"/>
  <c r="H113" i="60"/>
  <c r="F113" i="60"/>
  <c r="E113" i="60"/>
  <c r="D113" i="60"/>
  <c r="H112" i="60"/>
  <c r="E112" i="60"/>
  <c r="G112" i="60" s="1"/>
  <c r="D112" i="60"/>
  <c r="H111" i="60"/>
  <c r="F111" i="60"/>
  <c r="E111" i="60"/>
  <c r="F110" i="60"/>
  <c r="E110" i="60"/>
  <c r="D110" i="60"/>
  <c r="F109" i="60"/>
  <c r="E109" i="60"/>
  <c r="F108" i="60"/>
  <c r="E108" i="60"/>
  <c r="D108" i="60"/>
  <c r="F107" i="60"/>
  <c r="E107" i="60"/>
  <c r="D107" i="60"/>
  <c r="F106" i="60"/>
  <c r="E106" i="60"/>
  <c r="D106" i="60"/>
  <c r="F105" i="60"/>
  <c r="E105" i="60"/>
  <c r="D105" i="60"/>
  <c r="F104" i="60"/>
  <c r="E104" i="60"/>
  <c r="D104" i="60"/>
  <c r="F103" i="60"/>
  <c r="E103" i="60"/>
  <c r="D103" i="60"/>
  <c r="F102" i="60"/>
  <c r="E102" i="60"/>
  <c r="D102" i="60"/>
  <c r="F101" i="60"/>
  <c r="E101" i="60"/>
  <c r="D101" i="60"/>
  <c r="F100" i="60"/>
  <c r="E100" i="60"/>
  <c r="D100" i="60"/>
  <c r="F99" i="60"/>
  <c r="E99" i="60"/>
  <c r="D99" i="60"/>
  <c r="F98" i="60"/>
  <c r="E98" i="60"/>
  <c r="D98" i="60"/>
  <c r="F97" i="60"/>
  <c r="E97" i="60"/>
  <c r="F96" i="60"/>
  <c r="E96" i="60"/>
  <c r="D96" i="60"/>
  <c r="H95" i="60"/>
  <c r="F95" i="60"/>
  <c r="E95" i="60"/>
  <c r="H94" i="60"/>
  <c r="F94" i="60"/>
  <c r="E94" i="60"/>
  <c r="F93" i="60"/>
  <c r="E93" i="60"/>
  <c r="D93" i="60"/>
  <c r="F92" i="60"/>
  <c r="E92" i="60"/>
  <c r="H91" i="60"/>
  <c r="F91" i="60"/>
  <c r="E91" i="60"/>
  <c r="D91" i="60"/>
  <c r="H90" i="60"/>
  <c r="F90" i="60"/>
  <c r="E90" i="60"/>
  <c r="D90" i="60"/>
  <c r="F89" i="60"/>
  <c r="E89" i="60"/>
  <c r="H88" i="60"/>
  <c r="F88" i="60"/>
  <c r="E88" i="60"/>
  <c r="D88" i="60"/>
  <c r="H87" i="60"/>
  <c r="F87" i="60"/>
  <c r="E87" i="60"/>
  <c r="H86" i="60"/>
  <c r="F86" i="60"/>
  <c r="E86" i="60"/>
  <c r="H85" i="60"/>
  <c r="F85" i="60"/>
  <c r="E85" i="60"/>
  <c r="H84" i="60"/>
  <c r="F84" i="60"/>
  <c r="E84" i="60"/>
  <c r="D84" i="60"/>
  <c r="H83" i="60"/>
  <c r="F83" i="60"/>
  <c r="E83" i="60"/>
  <c r="D83" i="60"/>
  <c r="H82" i="60"/>
  <c r="F82" i="60"/>
  <c r="E82" i="60"/>
  <c r="D82" i="60"/>
  <c r="H81" i="60"/>
  <c r="F81" i="60"/>
  <c r="E81" i="60"/>
  <c r="D81" i="60"/>
  <c r="H80" i="60"/>
  <c r="F80" i="60"/>
  <c r="E80" i="60"/>
  <c r="H79" i="60"/>
  <c r="F79" i="60"/>
  <c r="E79" i="60"/>
  <c r="F78" i="60"/>
  <c r="E78" i="60"/>
  <c r="D78" i="60"/>
  <c r="F77" i="60"/>
  <c r="E77" i="60"/>
  <c r="D77" i="60"/>
  <c r="H76" i="60"/>
  <c r="F76" i="60"/>
  <c r="G76" i="60" s="1"/>
  <c r="D76" i="60"/>
  <c r="F75" i="60"/>
  <c r="E75" i="60"/>
  <c r="D75" i="60"/>
  <c r="F74" i="60"/>
  <c r="E74" i="60"/>
  <c r="G74" i="60" s="1"/>
  <c r="D74" i="60"/>
  <c r="H73" i="60"/>
  <c r="F73" i="60"/>
  <c r="E73" i="60"/>
  <c r="G73" i="60" s="1"/>
  <c r="D73" i="60"/>
  <c r="F72" i="60"/>
  <c r="E72" i="60"/>
  <c r="D72" i="60"/>
  <c r="F71" i="60"/>
  <c r="G71" i="60" s="1"/>
  <c r="D71" i="60"/>
  <c r="A71" i="60"/>
  <c r="F70" i="60"/>
  <c r="E70" i="60"/>
  <c r="G70" i="60" s="1"/>
  <c r="D70" i="60"/>
  <c r="F69" i="60"/>
  <c r="E69" i="60"/>
  <c r="D69" i="60"/>
  <c r="F68" i="60"/>
  <c r="E68" i="60"/>
  <c r="G68" i="60" s="1"/>
  <c r="D68" i="60"/>
  <c r="F67" i="60"/>
  <c r="E67" i="60"/>
  <c r="D67" i="60"/>
  <c r="F66" i="60"/>
  <c r="E66" i="60"/>
  <c r="G66" i="60" s="1"/>
  <c r="D66" i="60"/>
  <c r="F65" i="60"/>
  <c r="E65" i="60"/>
  <c r="D65" i="60"/>
  <c r="F64" i="60"/>
  <c r="E64" i="60"/>
  <c r="G64" i="60" s="1"/>
  <c r="D64" i="60"/>
  <c r="H63" i="60"/>
  <c r="F63" i="60"/>
  <c r="E63" i="60"/>
  <c r="G63" i="60" s="1"/>
  <c r="D63" i="60"/>
  <c r="H62" i="60"/>
  <c r="F62" i="60"/>
  <c r="E62" i="60"/>
  <c r="G62" i="60" s="1"/>
  <c r="H61" i="60"/>
  <c r="F61" i="60"/>
  <c r="E61" i="60"/>
  <c r="D61" i="60"/>
  <c r="H60" i="60"/>
  <c r="F60" i="60"/>
  <c r="E60" i="60"/>
  <c r="H59" i="60"/>
  <c r="F59" i="60"/>
  <c r="E59" i="60"/>
  <c r="G59" i="60" s="1"/>
  <c r="D59" i="60"/>
  <c r="H58" i="60"/>
  <c r="F58" i="60"/>
  <c r="E58" i="60"/>
  <c r="G58" i="60" s="1"/>
  <c r="D58" i="60"/>
  <c r="H57" i="60"/>
  <c r="F57" i="60"/>
  <c r="E57" i="60"/>
  <c r="G57" i="60" s="1"/>
  <c r="D57" i="60"/>
  <c r="H56" i="60"/>
  <c r="F56" i="60"/>
  <c r="E56" i="60"/>
  <c r="G56" i="60" s="1"/>
  <c r="D56" i="60"/>
  <c r="H55" i="60"/>
  <c r="F55" i="60"/>
  <c r="E55" i="60"/>
  <c r="G55" i="60" s="1"/>
  <c r="D55" i="60"/>
  <c r="H54" i="60"/>
  <c r="F54" i="60"/>
  <c r="E54" i="60"/>
  <c r="G54" i="60" s="1"/>
  <c r="D54" i="60"/>
  <c r="H53" i="60"/>
  <c r="F53" i="60"/>
  <c r="E53" i="60"/>
  <c r="G53" i="60" s="1"/>
  <c r="D53" i="60"/>
  <c r="H52" i="60"/>
  <c r="F52" i="60"/>
  <c r="E52" i="60"/>
  <c r="G52" i="60" s="1"/>
  <c r="D52" i="60"/>
  <c r="H51" i="60"/>
  <c r="F51" i="60"/>
  <c r="E51" i="60"/>
  <c r="G51" i="60" s="1"/>
  <c r="D51" i="60"/>
  <c r="H50" i="60"/>
  <c r="F50" i="60"/>
  <c r="E50" i="60"/>
  <c r="G50" i="60" s="1"/>
  <c r="D50" i="60"/>
  <c r="H49" i="60"/>
  <c r="F49" i="60"/>
  <c r="E49" i="60"/>
  <c r="G49" i="60" s="1"/>
  <c r="D49" i="60"/>
  <c r="H48" i="60"/>
  <c r="F48" i="60"/>
  <c r="E48" i="60"/>
  <c r="G48" i="60" s="1"/>
  <c r="D48" i="60"/>
  <c r="H47" i="60"/>
  <c r="F47" i="60"/>
  <c r="E47" i="60"/>
  <c r="G47" i="60" s="1"/>
  <c r="D47" i="60"/>
  <c r="H46" i="60"/>
  <c r="F46" i="60"/>
  <c r="E46" i="60"/>
  <c r="G46" i="60" s="1"/>
  <c r="D46" i="60"/>
  <c r="H45" i="60"/>
  <c r="F45" i="60"/>
  <c r="E45" i="60"/>
  <c r="G45" i="60" s="1"/>
  <c r="D45" i="60"/>
  <c r="H44" i="60"/>
  <c r="F44" i="60"/>
  <c r="E44" i="60"/>
  <c r="G44" i="60" s="1"/>
  <c r="D44" i="60"/>
  <c r="H43" i="60"/>
  <c r="F43" i="60"/>
  <c r="E43" i="60"/>
  <c r="G43" i="60" s="1"/>
  <c r="D43" i="60"/>
  <c r="H42" i="60"/>
  <c r="F42" i="60"/>
  <c r="E42" i="60"/>
  <c r="G42" i="60" s="1"/>
  <c r="D42" i="60"/>
  <c r="H41" i="60"/>
  <c r="F41" i="60"/>
  <c r="E41" i="60"/>
  <c r="G41" i="60" s="1"/>
  <c r="D41" i="60"/>
  <c r="H40" i="60"/>
  <c r="F40" i="60"/>
  <c r="E40" i="60"/>
  <c r="G40" i="60" s="1"/>
  <c r="D40" i="60"/>
  <c r="H39" i="60"/>
  <c r="F39" i="60"/>
  <c r="E39" i="60"/>
  <c r="E180" i="60" s="1"/>
  <c r="D39" i="60"/>
  <c r="F37" i="60"/>
  <c r="F36" i="60"/>
  <c r="G36" i="60" s="1"/>
  <c r="H35" i="60"/>
  <c r="E35" i="60"/>
  <c r="G35" i="60" s="1"/>
  <c r="D35" i="60"/>
  <c r="H34" i="60"/>
  <c r="F34" i="60"/>
  <c r="E34" i="60"/>
  <c r="D34" i="60"/>
  <c r="H33" i="60"/>
  <c r="F33" i="60"/>
  <c r="G33" i="60" s="1"/>
  <c r="D33" i="60"/>
  <c r="H32" i="60"/>
  <c r="F32" i="60"/>
  <c r="G32" i="60" s="1"/>
  <c r="D32" i="60"/>
  <c r="H31" i="60"/>
  <c r="F31" i="60"/>
  <c r="E31" i="60"/>
  <c r="D31" i="60"/>
  <c r="H30" i="60"/>
  <c r="F30" i="60"/>
  <c r="E30" i="60"/>
  <c r="D30" i="60"/>
  <c r="H29" i="60"/>
  <c r="F29" i="60"/>
  <c r="E29" i="60"/>
  <c r="D29" i="60"/>
  <c r="H28" i="60"/>
  <c r="F28" i="60"/>
  <c r="E28" i="60"/>
  <c r="D28" i="60"/>
  <c r="H27" i="60"/>
  <c r="F27" i="60"/>
  <c r="G27" i="60" s="1"/>
  <c r="D27" i="60"/>
  <c r="H26" i="60"/>
  <c r="F26" i="60"/>
  <c r="G26" i="60" s="1"/>
  <c r="D26" i="60"/>
  <c r="H25" i="60"/>
  <c r="F25" i="60"/>
  <c r="G25" i="60" s="1"/>
  <c r="D25" i="60"/>
  <c r="H24" i="60"/>
  <c r="H23" i="60"/>
  <c r="F23" i="60"/>
  <c r="G23" i="60" s="1"/>
  <c r="D23" i="60"/>
  <c r="H22" i="60"/>
  <c r="F22" i="60"/>
  <c r="G22" i="60" s="1"/>
  <c r="D22" i="60"/>
  <c r="H21" i="60"/>
  <c r="F21" i="60"/>
  <c r="E21" i="60"/>
  <c r="D21" i="60"/>
  <c r="H20" i="60"/>
  <c r="F20" i="60"/>
  <c r="E20" i="60"/>
  <c r="D20" i="60"/>
  <c r="H19" i="60"/>
  <c r="F19" i="60"/>
  <c r="E19" i="60"/>
  <c r="D19" i="60"/>
  <c r="H18" i="60"/>
  <c r="F18" i="60"/>
  <c r="E18" i="60"/>
  <c r="D18" i="60"/>
  <c r="H17" i="60"/>
  <c r="F17" i="60"/>
  <c r="E17" i="60"/>
  <c r="D17" i="60"/>
  <c r="G77" i="60" l="1"/>
  <c r="G80" i="60"/>
  <c r="G81" i="60"/>
  <c r="G82" i="60"/>
  <c r="G84" i="60"/>
  <c r="G86" i="60"/>
  <c r="G92" i="60"/>
  <c r="G95" i="60"/>
  <c r="G96" i="60"/>
  <c r="G110" i="60"/>
  <c r="G168" i="60"/>
  <c r="G206" i="60"/>
  <c r="G28" i="60"/>
  <c r="G29" i="60"/>
  <c r="G30" i="60"/>
  <c r="G31" i="60"/>
  <c r="G34" i="60"/>
  <c r="F206" i="60"/>
  <c r="E37" i="60"/>
  <c r="H37" i="60"/>
  <c r="G18" i="60"/>
  <c r="G19" i="60"/>
  <c r="G20" i="60"/>
  <c r="G21" i="60"/>
  <c r="G61" i="60"/>
  <c r="G65" i="60"/>
  <c r="G67" i="60"/>
  <c r="G69" i="60"/>
  <c r="G72" i="60"/>
  <c r="G79" i="60"/>
  <c r="G85" i="60"/>
  <c r="G87" i="60"/>
  <c r="G88" i="60"/>
  <c r="G90" i="60"/>
  <c r="G91" i="60"/>
  <c r="G93" i="60"/>
  <c r="G98" i="60"/>
  <c r="G100" i="60"/>
  <c r="G102" i="60"/>
  <c r="G104" i="60"/>
  <c r="G106" i="60"/>
  <c r="G108" i="60"/>
  <c r="G109" i="60"/>
  <c r="G113" i="60"/>
  <c r="G115" i="60"/>
  <c r="G116" i="60"/>
  <c r="G118" i="60"/>
  <c r="G120" i="60"/>
  <c r="G121" i="60"/>
  <c r="G123" i="60"/>
  <c r="G124" i="60"/>
  <c r="G132" i="60"/>
  <c r="G133" i="60"/>
  <c r="G170" i="60"/>
  <c r="G172" i="60"/>
  <c r="G175" i="60"/>
  <c r="G177" i="60"/>
  <c r="G178" i="60"/>
  <c r="H206" i="60"/>
  <c r="G39" i="60"/>
  <c r="G75" i="60"/>
  <c r="G78" i="60"/>
  <c r="G83" i="60"/>
  <c r="G89" i="60"/>
  <c r="G94" i="60"/>
  <c r="G97" i="60"/>
  <c r="G99" i="60"/>
  <c r="G101" i="60"/>
  <c r="G103" i="60"/>
  <c r="G105" i="60"/>
  <c r="G107" i="60"/>
  <c r="G111" i="60"/>
  <c r="G114" i="60"/>
  <c r="G119" i="60"/>
  <c r="G122" i="60"/>
  <c r="G125" i="60"/>
  <c r="G127" i="60"/>
  <c r="G129" i="60"/>
  <c r="G131" i="60"/>
  <c r="G134" i="60"/>
  <c r="G138" i="60"/>
  <c r="G142" i="60"/>
  <c r="G144" i="60"/>
  <c r="G146" i="60"/>
  <c r="G176" i="60"/>
  <c r="E215" i="60"/>
  <c r="G17" i="60"/>
  <c r="G37" i="60" s="1"/>
  <c r="D180" i="60"/>
  <c r="F180" i="60"/>
  <c r="F215" i="60" s="1"/>
  <c r="H180" i="60"/>
  <c r="H215" i="60" s="1"/>
  <c r="G60" i="60"/>
  <c r="D215" i="60"/>
  <c r="G68" i="59"/>
  <c r="G80" i="58"/>
  <c r="B83" i="58"/>
  <c r="G45" i="57"/>
  <c r="C22" i="56"/>
  <c r="G22" i="56"/>
  <c r="F15" i="55"/>
  <c r="F21" i="55"/>
  <c r="H23" i="55"/>
  <c r="H25" i="55"/>
  <c r="F26" i="55"/>
  <c r="H30" i="55"/>
  <c r="F36" i="55"/>
  <c r="H39" i="55"/>
  <c r="D40" i="55"/>
  <c r="E40" i="55"/>
  <c r="F40" i="55"/>
  <c r="G40" i="55"/>
  <c r="H40" i="55"/>
  <c r="D42" i="55"/>
  <c r="E42" i="55"/>
  <c r="F42" i="55"/>
  <c r="G42" i="55"/>
  <c r="H42" i="55"/>
  <c r="F19" i="54"/>
  <c r="F20" i="54"/>
  <c r="F21" i="54"/>
  <c r="H22" i="54"/>
  <c r="H26" i="54"/>
  <c r="D28" i="54"/>
  <c r="E28" i="54"/>
  <c r="F28" i="54"/>
  <c r="G28" i="54"/>
  <c r="H28" i="54"/>
  <c r="D30" i="54"/>
  <c r="E30" i="54"/>
  <c r="F30" i="54"/>
  <c r="G30" i="54"/>
  <c r="H30" i="54"/>
  <c r="F16" i="53"/>
  <c r="F17" i="53"/>
  <c r="F18" i="53"/>
  <c r="F19" i="53"/>
  <c r="H21" i="53"/>
  <c r="F23" i="53"/>
  <c r="F24" i="53"/>
  <c r="H25" i="53"/>
  <c r="D29" i="53"/>
  <c r="E29" i="53"/>
  <c r="F29" i="53"/>
  <c r="G29" i="53"/>
  <c r="H29" i="53"/>
  <c r="D31" i="53"/>
  <c r="E31" i="53"/>
  <c r="F31" i="53"/>
  <c r="G31" i="53"/>
  <c r="H31" i="53"/>
  <c r="H20" i="52"/>
  <c r="H25" i="52"/>
  <c r="D33" i="52"/>
  <c r="E33" i="52"/>
  <c r="G33" i="52"/>
  <c r="H33" i="52"/>
  <c r="D35" i="52"/>
  <c r="E35" i="52"/>
  <c r="G35" i="52"/>
  <c r="H35" i="52"/>
  <c r="D28" i="51"/>
  <c r="E28" i="51"/>
  <c r="G28" i="51"/>
  <c r="G29" i="51"/>
  <c r="H21" i="50"/>
  <c r="F23" i="50"/>
  <c r="H26" i="50"/>
  <c r="H32" i="50"/>
  <c r="H42" i="50"/>
  <c r="D51" i="50"/>
  <c r="E51" i="50"/>
  <c r="F51" i="50"/>
  <c r="G51" i="50"/>
  <c r="H52" i="50"/>
  <c r="D53" i="50"/>
  <c r="E53" i="50"/>
  <c r="F53" i="50"/>
  <c r="G53" i="50"/>
  <c r="H53" i="50"/>
  <c r="D22" i="49"/>
  <c r="E22" i="49"/>
  <c r="F22" i="49"/>
  <c r="H36" i="48"/>
  <c r="E36" i="48"/>
  <c r="D36" i="48"/>
  <c r="G32" i="48"/>
  <c r="H30" i="48"/>
  <c r="H37" i="48" s="1"/>
  <c r="F30" i="48"/>
  <c r="F36" i="48" s="1"/>
  <c r="F37" i="48" s="1"/>
  <c r="E30" i="48"/>
  <c r="E37" i="48" s="1"/>
  <c r="D30" i="48"/>
  <c r="D37" i="48" s="1"/>
  <c r="G29" i="48"/>
  <c r="G36" i="48" s="1"/>
  <c r="G37" i="48" s="1"/>
  <c r="F16" i="47"/>
  <c r="F21" i="47" s="1"/>
  <c r="F50" i="47" s="1"/>
  <c r="F17" i="47"/>
  <c r="F19" i="47"/>
  <c r="D21" i="47"/>
  <c r="E21" i="47"/>
  <c r="G21" i="47"/>
  <c r="H21" i="47"/>
  <c r="F23" i="47"/>
  <c r="F24" i="47"/>
  <c r="D28" i="47"/>
  <c r="D49" i="47" s="1"/>
  <c r="D50" i="47" s="1"/>
  <c r="F28" i="47"/>
  <c r="F30" i="47"/>
  <c r="F49" i="47" s="1"/>
  <c r="F31" i="47"/>
  <c r="F32" i="47"/>
  <c r="E49" i="47"/>
  <c r="G49" i="47"/>
  <c r="H49" i="47"/>
  <c r="E50" i="47"/>
  <c r="G50" i="47"/>
  <c r="H50" i="47"/>
  <c r="E45" i="42"/>
  <c r="E43" i="42"/>
  <c r="E42" i="42"/>
  <c r="E38" i="42"/>
  <c r="E37" i="42"/>
  <c r="E52" i="42" s="1"/>
  <c r="F56" i="42"/>
  <c r="E46" i="41"/>
  <c r="E43" i="41"/>
  <c r="E41" i="41"/>
  <c r="E38" i="41"/>
  <c r="E37" i="41"/>
  <c r="E50" i="41" s="1"/>
  <c r="E41" i="40"/>
  <c r="E40" i="40"/>
  <c r="E38" i="40"/>
  <c r="E37" i="40"/>
  <c r="E46" i="40" s="1"/>
  <c r="E39" i="39"/>
  <c r="E38" i="39"/>
  <c r="E46" i="39" s="1"/>
  <c r="F55" i="18"/>
  <c r="E45" i="18"/>
  <c r="E42" i="18"/>
  <c r="E41" i="18"/>
  <c r="E39" i="18"/>
  <c r="E38" i="18"/>
  <c r="E37" i="18"/>
  <c r="E49" i="18" s="1"/>
  <c r="E47" i="19"/>
  <c r="E37" i="19"/>
  <c r="E36" i="19"/>
  <c r="E35" i="19"/>
  <c r="E49" i="19" s="1"/>
  <c r="F49" i="19"/>
  <c r="E51" i="17"/>
  <c r="E46" i="17"/>
  <c r="E43" i="17"/>
  <c r="E42" i="17"/>
  <c r="E41" i="17"/>
  <c r="E53" i="17" s="1"/>
  <c r="F53" i="17"/>
  <c r="E55" i="16"/>
  <c r="E54" i="16"/>
  <c r="E53" i="16"/>
  <c r="E52" i="16"/>
  <c r="E51" i="16"/>
  <c r="E50" i="16"/>
  <c r="E47" i="16"/>
  <c r="E46" i="16"/>
  <c r="E44" i="16"/>
  <c r="E43" i="16"/>
  <c r="E42" i="16"/>
  <c r="E58" i="16" s="1"/>
  <c r="F58" i="16"/>
  <c r="F52" i="20"/>
  <c r="E43" i="20"/>
  <c r="E41" i="20"/>
  <c r="E40" i="20"/>
  <c r="E39" i="20"/>
  <c r="F57" i="7"/>
  <c r="E46" i="7"/>
  <c r="E50" i="7"/>
  <c r="E48" i="7"/>
  <c r="E43" i="7"/>
  <c r="E42" i="7"/>
  <c r="E41" i="7"/>
  <c r="E40" i="7"/>
  <c r="E39" i="7"/>
  <c r="E38" i="7"/>
  <c r="E53" i="7" s="1"/>
  <c r="G18" i="20"/>
  <c r="G180" i="60" l="1"/>
  <c r="G215" i="60" s="1"/>
  <c r="G27" i="41"/>
  <c r="G33" i="41"/>
  <c r="G28" i="41"/>
  <c r="G34" i="41"/>
  <c r="G25" i="41"/>
  <c r="G32" i="41"/>
  <c r="G31" i="41"/>
  <c r="G30" i="41"/>
  <c r="G29" i="41"/>
  <c r="G22" i="41"/>
  <c r="G18" i="41"/>
  <c r="G31" i="20"/>
  <c r="G30" i="20"/>
  <c r="G29" i="20"/>
  <c r="G35" i="20"/>
  <c r="G36" i="20"/>
  <c r="G26" i="20"/>
  <c r="G34" i="20"/>
  <c r="G33" i="20"/>
  <c r="G32" i="20"/>
  <c r="G23" i="20"/>
  <c r="G33" i="8"/>
  <c r="G31" i="8"/>
  <c r="G26" i="8"/>
  <c r="G27" i="8"/>
  <c r="G32" i="8"/>
  <c r="G23" i="8"/>
  <c r="G30" i="8"/>
  <c r="G29" i="8"/>
  <c r="G28" i="8"/>
  <c r="G20" i="8"/>
  <c r="G18" i="8"/>
  <c r="G72" i="4" l="1"/>
  <c r="F35" i="42" l="1"/>
  <c r="D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35" i="42" s="1"/>
  <c r="F35" i="41"/>
  <c r="D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35" i="41" s="1"/>
  <c r="F35" i="40"/>
  <c r="D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F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0" i="39"/>
  <c r="E19" i="39"/>
  <c r="E18" i="39"/>
  <c r="E35" i="39" s="1"/>
  <c r="F35" i="18"/>
  <c r="D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F33" i="19"/>
  <c r="F53" i="19" s="1"/>
  <c r="D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33" i="19" s="1"/>
  <c r="E17" i="19"/>
  <c r="F39" i="17"/>
  <c r="F57" i="17" s="1"/>
  <c r="D39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39" i="17" s="1"/>
  <c r="F40" i="16"/>
  <c r="D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40" i="16" s="1"/>
  <c r="F37" i="20"/>
  <c r="D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F36" i="7"/>
  <c r="D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F37" i="11"/>
  <c r="D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37" i="11" s="1"/>
  <c r="F38" i="12"/>
  <c r="D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F36" i="10"/>
  <c r="D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36" i="10" s="1"/>
  <c r="F37" i="13"/>
  <c r="D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F32" i="9"/>
  <c r="D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32" i="9" s="1"/>
  <c r="F35" i="8"/>
  <c r="D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35" i="8" s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37" i="13" l="1"/>
  <c r="E38" i="12"/>
  <c r="E36" i="7"/>
  <c r="E58" i="7" s="1"/>
  <c r="E37" i="20"/>
  <c r="E35" i="18"/>
  <c r="E35" i="40"/>
  <c r="E51" i="40" s="1"/>
  <c r="E40" i="11"/>
  <c r="E41" i="11"/>
  <c r="E42" i="11"/>
  <c r="E43" i="11"/>
  <c r="E44" i="11"/>
  <c r="E45" i="11"/>
  <c r="E46" i="11"/>
  <c r="E47" i="11"/>
  <c r="E48" i="11"/>
  <c r="E49" i="11"/>
  <c r="E39" i="11"/>
  <c r="E41" i="12"/>
  <c r="E42" i="12"/>
  <c r="E43" i="12"/>
  <c r="E44" i="12"/>
  <c r="E45" i="12"/>
  <c r="E46" i="12"/>
  <c r="E47" i="12"/>
  <c r="E48" i="12"/>
  <c r="E49" i="12"/>
  <c r="E40" i="12"/>
  <c r="D52" i="10"/>
  <c r="E52" i="10"/>
  <c r="F52" i="10"/>
  <c r="E39" i="10"/>
  <c r="E40" i="10"/>
  <c r="E41" i="10"/>
  <c r="E42" i="10"/>
  <c r="E43" i="10"/>
  <c r="E38" i="10"/>
  <c r="F50" i="13"/>
  <c r="F54" i="13" s="1"/>
  <c r="E40" i="13"/>
  <c r="E41" i="13"/>
  <c r="E42" i="13"/>
  <c r="E43" i="13"/>
  <c r="E44" i="13"/>
  <c r="E39" i="13"/>
  <c r="F34" i="9"/>
  <c r="F36" i="9"/>
  <c r="F38" i="9"/>
  <c r="E35" i="9"/>
  <c r="G56" i="8"/>
  <c r="F56" i="8"/>
  <c r="E54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37" i="8"/>
  <c r="E64" i="4"/>
  <c r="E65" i="4"/>
  <c r="E66" i="4"/>
  <c r="E63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17" i="4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40" i="1"/>
  <c r="G40" i="8" l="1"/>
  <c r="E53" i="19" l="1"/>
  <c r="E51" i="11"/>
  <c r="E50" i="13"/>
  <c r="E54" i="13" s="1"/>
  <c r="E43" i="9" l="1"/>
  <c r="G37" i="11"/>
  <c r="G38" i="12"/>
  <c r="G35" i="18"/>
  <c r="G38" i="1"/>
  <c r="G35" i="42"/>
  <c r="D58" i="16" l="1"/>
  <c r="D60" i="16" s="1"/>
  <c r="C30" i="16"/>
  <c r="D51" i="11"/>
  <c r="D50" i="13" l="1"/>
  <c r="D54" i="13" s="1"/>
  <c r="D56" i="42"/>
  <c r="D52" i="19"/>
  <c r="D49" i="19"/>
  <c r="D55" i="41"/>
  <c r="D53" i="17"/>
  <c r="D48" i="20"/>
  <c r="D57" i="7" l="1"/>
  <c r="D64" i="1"/>
  <c r="D75" i="4"/>
  <c r="C33" i="42" l="1"/>
  <c r="C27" i="41"/>
  <c r="C33" i="40"/>
  <c r="C33" i="18"/>
  <c r="C52" i="19"/>
  <c r="C56" i="17"/>
  <c r="C52" i="20"/>
  <c r="C57" i="7"/>
  <c r="C48" i="7"/>
  <c r="C28" i="7"/>
  <c r="C55" i="11"/>
  <c r="C24" i="11"/>
  <c r="C52" i="10"/>
  <c r="C34" i="10"/>
  <c r="C28" i="10"/>
  <c r="C53" i="13"/>
  <c r="C40" i="13"/>
  <c r="C29" i="13"/>
  <c r="C46" i="9"/>
  <c r="C30" i="9"/>
  <c r="C24" i="9"/>
  <c r="C32" i="9" s="1"/>
  <c r="C56" i="8"/>
  <c r="C35" i="8"/>
  <c r="E75" i="4"/>
  <c r="F75" i="4"/>
  <c r="C29" i="1"/>
  <c r="C38" i="1" s="1"/>
  <c r="F72" i="4"/>
  <c r="F76" i="4" s="1"/>
  <c r="D72" i="4" l="1"/>
  <c r="G43" i="12" l="1"/>
  <c r="C50" i="41"/>
  <c r="G49" i="18" l="1"/>
  <c r="G49" i="19"/>
  <c r="G53" i="17"/>
  <c r="G58" i="16"/>
  <c r="G53" i="7"/>
  <c r="G51" i="11"/>
  <c r="G51" i="12"/>
  <c r="G49" i="10"/>
  <c r="G50" i="13"/>
  <c r="G43" i="9"/>
  <c r="G52" i="42"/>
  <c r="G50" i="41"/>
  <c r="D52" i="42" l="1"/>
  <c r="F52" i="42"/>
  <c r="C52" i="42"/>
  <c r="C56" i="42"/>
  <c r="G56" i="42"/>
  <c r="E55" i="41"/>
  <c r="F55" i="41"/>
  <c r="G55" i="41"/>
  <c r="C55" i="41"/>
  <c r="D50" i="41"/>
  <c r="F50" i="41"/>
  <c r="F56" i="41" s="1"/>
  <c r="C35" i="42"/>
  <c r="G35" i="41"/>
  <c r="C35" i="41"/>
  <c r="G50" i="40"/>
  <c r="F50" i="40"/>
  <c r="D50" i="40"/>
  <c r="C50" i="40"/>
  <c r="G46" i="40"/>
  <c r="F46" i="40"/>
  <c r="F51" i="40" s="1"/>
  <c r="D46" i="40"/>
  <c r="C46" i="40"/>
  <c r="G35" i="40"/>
  <c r="C35" i="40"/>
  <c r="G49" i="39"/>
  <c r="F49" i="39"/>
  <c r="E49" i="39"/>
  <c r="D49" i="39"/>
  <c r="C49" i="39"/>
  <c r="G46" i="39"/>
  <c r="F46" i="39"/>
  <c r="D46" i="39"/>
  <c r="C46" i="39"/>
  <c r="E37" i="39"/>
  <c r="G35" i="39"/>
  <c r="D35" i="39"/>
  <c r="C35" i="39"/>
  <c r="D55" i="18"/>
  <c r="E55" i="18"/>
  <c r="G55" i="18"/>
  <c r="C55" i="18"/>
  <c r="D49" i="18"/>
  <c r="C49" i="18"/>
  <c r="G52" i="19"/>
  <c r="G39" i="17"/>
  <c r="G57" i="7"/>
  <c r="D55" i="11"/>
  <c r="E55" i="11"/>
  <c r="F55" i="11"/>
  <c r="D54" i="12"/>
  <c r="E54" i="12"/>
  <c r="F54" i="12"/>
  <c r="C54" i="12"/>
  <c r="C36" i="16" l="1"/>
  <c r="C40" i="16" s="1"/>
  <c r="D50" i="39"/>
  <c r="D57" i="42"/>
  <c r="C57" i="42"/>
  <c r="G57" i="42"/>
  <c r="F57" i="42"/>
  <c r="C56" i="41"/>
  <c r="G56" i="41"/>
  <c r="D56" i="41"/>
  <c r="G51" i="40"/>
  <c r="D51" i="40"/>
  <c r="C51" i="40"/>
  <c r="G50" i="39"/>
  <c r="C50" i="39"/>
  <c r="F50" i="39"/>
  <c r="C39" i="17"/>
  <c r="E56" i="41" l="1"/>
  <c r="E50" i="39"/>
  <c r="G35" i="8" l="1"/>
  <c r="D56" i="8"/>
  <c r="E56" i="8"/>
  <c r="A79" i="4"/>
  <c r="B79" i="4"/>
  <c r="E69" i="1"/>
  <c r="E79" i="4" l="1"/>
  <c r="H35" i="8"/>
  <c r="E72" i="4"/>
  <c r="E76" i="4" s="1"/>
  <c r="G64" i="1"/>
  <c r="E64" i="1"/>
  <c r="F64" i="1"/>
  <c r="C62" i="1"/>
  <c r="F38" i="1" l="1"/>
  <c r="E46" i="20" l="1"/>
  <c r="F52" i="8" l="1"/>
  <c r="F57" i="8" s="1"/>
  <c r="G52" i="8"/>
  <c r="F57" i="1"/>
  <c r="G57" i="1"/>
  <c r="F65" i="1" l="1"/>
  <c r="E52" i="8"/>
  <c r="E57" i="1"/>
  <c r="E38" i="1"/>
  <c r="E65" i="1" l="1"/>
  <c r="E57" i="8"/>
  <c r="D53" i="7" l="1"/>
  <c r="D58" i="7" s="1"/>
  <c r="F53" i="7"/>
  <c r="F58" i="7" s="1"/>
  <c r="C53" i="7"/>
  <c r="G46" i="9"/>
  <c r="D76" i="4"/>
  <c r="G75" i="4"/>
  <c r="G76" i="4" s="1"/>
  <c r="C33" i="19" l="1"/>
  <c r="C36" i="10"/>
  <c r="C37" i="20"/>
  <c r="C36" i="7"/>
  <c r="C58" i="7" s="1"/>
  <c r="C37" i="11"/>
  <c r="C38" i="12"/>
  <c r="D56" i="18"/>
  <c r="C35" i="18"/>
  <c r="C56" i="18" s="1"/>
  <c r="C37" i="13"/>
  <c r="D38" i="1"/>
  <c r="G57" i="8" l="1"/>
  <c r="G32" i="9"/>
  <c r="G37" i="13"/>
  <c r="G37" i="20"/>
  <c r="G36" i="10"/>
  <c r="G33" i="19"/>
  <c r="G36" i="7"/>
  <c r="H36" i="7" s="1"/>
  <c r="F60" i="16"/>
  <c r="C58" i="16"/>
  <c r="C60" i="16" l="1"/>
  <c r="G58" i="7"/>
  <c r="G55" i="12"/>
  <c r="G54" i="13"/>
  <c r="G56" i="18"/>
  <c r="G65" i="1" l="1"/>
  <c r="E48" i="20"/>
  <c r="F48" i="20"/>
  <c r="G48" i="20"/>
  <c r="C48" i="20"/>
  <c r="D53" i="19"/>
  <c r="G53" i="19"/>
  <c r="C49" i="19"/>
  <c r="C53" i="19" s="1"/>
  <c r="G53" i="20" l="1"/>
  <c r="E53" i="20"/>
  <c r="F53" i="20"/>
  <c r="D53" i="20"/>
  <c r="C53" i="20"/>
  <c r="G57" i="17"/>
  <c r="C53" i="17"/>
  <c r="C57" i="17" s="1"/>
  <c r="C50" i="13"/>
  <c r="C54" i="13" s="1"/>
  <c r="F51" i="12"/>
  <c r="F55" i="12" s="1"/>
  <c r="E51" i="12"/>
  <c r="E55" i="12" s="1"/>
  <c r="D51" i="12"/>
  <c r="D55" i="12" s="1"/>
  <c r="C51" i="12"/>
  <c r="C55" i="12" s="1"/>
  <c r="G56" i="11"/>
  <c r="F51" i="11"/>
  <c r="F56" i="11" s="1"/>
  <c r="D56" i="11"/>
  <c r="C51" i="11"/>
  <c r="C56" i="11" s="1"/>
  <c r="G53" i="10"/>
  <c r="F49" i="10"/>
  <c r="F53" i="10" s="1"/>
  <c r="E49" i="10"/>
  <c r="E53" i="10" s="1"/>
  <c r="D49" i="10"/>
  <c r="D53" i="10" s="1"/>
  <c r="C49" i="10"/>
  <c r="C53" i="10" s="1"/>
  <c r="G47" i="9"/>
  <c r="F43" i="9"/>
  <c r="D43" i="9"/>
  <c r="C43" i="9"/>
  <c r="C47" i="9" s="1"/>
  <c r="D52" i="8"/>
  <c r="D57" i="8" s="1"/>
  <c r="C52" i="8"/>
  <c r="C57" i="8" s="1"/>
  <c r="E56" i="11" l="1"/>
  <c r="E47" i="9"/>
  <c r="F47" i="9"/>
  <c r="D47" i="9"/>
  <c r="D57" i="1"/>
  <c r="D65" i="1" s="1"/>
  <c r="C57" i="1"/>
  <c r="C65" i="1" s="1"/>
  <c r="G39" i="16" l="1"/>
  <c r="G40" i="16" l="1"/>
  <c r="G60" i="16" l="1"/>
  <c r="E56" i="18" l="1"/>
  <c r="F44" i="18"/>
  <c r="F49" i="18" s="1"/>
  <c r="F56" i="18" s="1"/>
  <c r="C72" i="4"/>
</calcChain>
</file>

<file path=xl/sharedStrings.xml><?xml version="1.0" encoding="utf-8"?>
<sst xmlns="http://schemas.openxmlformats.org/spreadsheetml/2006/main" count="2115" uniqueCount="795">
  <si>
    <t>Object of Expenditure</t>
  </si>
  <si>
    <t>Account Code</t>
  </si>
  <si>
    <t>Past Year</t>
  </si>
  <si>
    <t>Budget Year</t>
  </si>
  <si>
    <t>(Actual)</t>
  </si>
  <si>
    <t>Total</t>
  </si>
  <si>
    <t>(Proposed)</t>
  </si>
  <si>
    <t>(Estimate)</t>
  </si>
  <si>
    <t>Current Year (Estimate)</t>
  </si>
  <si>
    <t>LBP Form No. 2</t>
  </si>
  <si>
    <t>PROGRAMMED APPROPRIATION AND OBLIGATION BY OBJECT OF EXPENDITURE</t>
  </si>
  <si>
    <t>Personal Services</t>
  </si>
  <si>
    <t>Financial Expenses</t>
  </si>
  <si>
    <t>Capital Outlays</t>
  </si>
  <si>
    <t>Maintenance and Other Operating Expenses</t>
  </si>
  <si>
    <t>Department Head</t>
  </si>
  <si>
    <t xml:space="preserve">       Office Supplies - HRMO</t>
  </si>
  <si>
    <t xml:space="preserve">       Office Supplies</t>
  </si>
  <si>
    <t xml:space="preserve">       Traveling Expenses </t>
  </si>
  <si>
    <t xml:space="preserve">       Traveling Expenses - HRMO</t>
  </si>
  <si>
    <t xml:space="preserve">       General Services</t>
  </si>
  <si>
    <t xml:space="preserve">       Office Clerk/General Services</t>
  </si>
  <si>
    <t xml:space="preserve">       Other Maint. &amp; Other Optng. Exp.</t>
  </si>
  <si>
    <t xml:space="preserve">       Bookbinding - HRMO</t>
  </si>
  <si>
    <t xml:space="preserve">       TOTAL MAINT. &amp; OPTG. EXP.</t>
  </si>
  <si>
    <t xml:space="preserve">      Subsidy to NGA (red cross)</t>
  </si>
  <si>
    <t xml:space="preserve">      Fidelity Bond</t>
  </si>
  <si>
    <t xml:space="preserve">       Training Exp.</t>
  </si>
  <si>
    <t xml:space="preserve">       Accountable forms</t>
  </si>
  <si>
    <t xml:space="preserve">       Telephone Exp. - Mobile</t>
  </si>
  <si>
    <t xml:space="preserve">       Comp. Tax Campaign &amp; coll.</t>
  </si>
  <si>
    <t xml:space="preserve">       Repair &amp; Maint. Of Equipment</t>
  </si>
  <si>
    <t xml:space="preserve">       Civil Registration Programs and Activites</t>
  </si>
  <si>
    <t xml:space="preserve">      Special Project: COA Roll out</t>
  </si>
  <si>
    <t xml:space="preserve">       Medicines</t>
  </si>
  <si>
    <t xml:space="preserve">       Livelihood Assistance in swine</t>
  </si>
  <si>
    <t xml:space="preserve">           production (Production / dispersal)</t>
  </si>
  <si>
    <t xml:space="preserve">       Livelihood assistance in goat</t>
  </si>
  <si>
    <t xml:space="preserve">          (production (Production / dispersal)</t>
  </si>
  <si>
    <t xml:space="preserve">       Other Bonuses and Allowances(Mid Year Bonus)</t>
  </si>
  <si>
    <t xml:space="preserve">       Life/Retirement Ins. Cont.</t>
  </si>
  <si>
    <t xml:space="preserve">       Pag-ibig Contribution</t>
  </si>
  <si>
    <t xml:space="preserve">       Philhealth Contribution</t>
  </si>
  <si>
    <t xml:space="preserve">       ECC Contribution</t>
  </si>
  <si>
    <t xml:space="preserve">       Other Personnel Benefits(Monetization)</t>
  </si>
  <si>
    <t xml:space="preserve">       Other Bonuses and Allowances(PEI)</t>
  </si>
  <si>
    <t xml:space="preserve">        Year End Bonus</t>
  </si>
  <si>
    <t xml:space="preserve">        Cash Gift</t>
  </si>
  <si>
    <t xml:space="preserve">        Transportation Allowance</t>
  </si>
  <si>
    <t xml:space="preserve">        Clothing/Uniform Allowance</t>
  </si>
  <si>
    <t xml:space="preserve">        Productivity Incentive Allowance</t>
  </si>
  <si>
    <t xml:space="preserve">        Representation Allowance</t>
  </si>
  <si>
    <t xml:space="preserve">        PERA</t>
  </si>
  <si>
    <t xml:space="preserve">  Other Compensation</t>
  </si>
  <si>
    <t xml:space="preserve">         Amount Reserve for New Item</t>
  </si>
  <si>
    <t xml:space="preserve">         Salaries (for step increment)</t>
  </si>
  <si>
    <t xml:space="preserve">         Salaries and Wages- Regular</t>
  </si>
  <si>
    <t xml:space="preserve">   Salaries and Wages</t>
  </si>
  <si>
    <t xml:space="preserve">       TOTAL PERSONAL SERVICES</t>
  </si>
  <si>
    <t xml:space="preserve">       Medico Legal</t>
  </si>
  <si>
    <t xml:space="preserve">       TOTAL CAPITAL OUTLAY</t>
  </si>
  <si>
    <t>TOTAL APPROPRIATIONS</t>
  </si>
  <si>
    <t>TOTAL</t>
  </si>
  <si>
    <t>Municipal Mayor</t>
  </si>
  <si>
    <t xml:space="preserve">    TOTAL CAPITAL OUTLAY</t>
  </si>
  <si>
    <t xml:space="preserve">      Subsidy to LGU</t>
  </si>
  <si>
    <t xml:space="preserve">       Subsistence, Laundry &amp; quarters allowance</t>
  </si>
  <si>
    <t>Municipal Budget Officer</t>
  </si>
  <si>
    <t>Prepared by:</t>
  </si>
  <si>
    <t>Reviewed by:</t>
  </si>
  <si>
    <t>Approved by:</t>
  </si>
  <si>
    <t>LGU: Carmen, Bohol</t>
  </si>
  <si>
    <r>
      <t xml:space="preserve">Office                   : </t>
    </r>
    <r>
      <rPr>
        <b/>
        <sz val="14"/>
        <color theme="1"/>
        <rFont val="Calibri"/>
        <family val="2"/>
        <scheme val="minor"/>
      </rPr>
      <t>Local Civil Registrar</t>
    </r>
  </si>
  <si>
    <t>Project/Activity  : General Administration</t>
  </si>
  <si>
    <r>
      <t xml:space="preserve">Office                      : </t>
    </r>
    <r>
      <rPr>
        <b/>
        <sz val="14"/>
        <rFont val="Calibri"/>
        <family val="2"/>
        <scheme val="minor"/>
      </rPr>
      <t>Municipal Budget Officer</t>
    </r>
  </si>
  <si>
    <t>Project/Activity     : General Administration</t>
  </si>
  <si>
    <t>Function              : Collection &amp; Disbursements</t>
  </si>
  <si>
    <t xml:space="preserve">       BPLO Programs </t>
  </si>
  <si>
    <r>
      <t xml:space="preserve">Office                   : </t>
    </r>
    <r>
      <rPr>
        <b/>
        <sz val="14"/>
        <rFont val="Calibri"/>
        <family val="2"/>
        <scheme val="minor"/>
      </rPr>
      <t>Municipal Treasurer's Office</t>
    </r>
  </si>
  <si>
    <t>Function          : Health Services</t>
  </si>
  <si>
    <r>
      <t xml:space="preserve">Office               : </t>
    </r>
    <r>
      <rPr>
        <b/>
        <sz val="16"/>
        <rFont val="Calibri"/>
        <family val="2"/>
        <scheme val="minor"/>
      </rPr>
      <t>Municipal Health Office</t>
    </r>
  </si>
  <si>
    <r>
      <rPr>
        <sz val="16"/>
        <color theme="1"/>
        <rFont val="Calibri"/>
        <family val="2"/>
        <scheme val="minor"/>
      </rPr>
      <t>Office                  :</t>
    </r>
    <r>
      <rPr>
        <b/>
        <sz val="16"/>
        <color theme="1"/>
        <rFont val="Calibri"/>
        <family val="2"/>
        <scheme val="minor"/>
      </rPr>
      <t xml:space="preserve"> Municipal Social Welfare Office</t>
    </r>
  </si>
  <si>
    <t>Project/Activity : General Administration</t>
  </si>
  <si>
    <t>Function             : Agricultural Services</t>
  </si>
  <si>
    <r>
      <rPr>
        <sz val="16"/>
        <rFont val="Calibri"/>
        <family val="2"/>
        <scheme val="minor"/>
      </rPr>
      <t xml:space="preserve">Office                  : </t>
    </r>
    <r>
      <rPr>
        <b/>
        <sz val="16"/>
        <rFont val="Calibri"/>
        <family val="2"/>
        <scheme val="minor"/>
      </rPr>
      <t>Municipal Agriculture's Office</t>
    </r>
  </si>
  <si>
    <t>Project/Activity: Implementation &amp; Supervision</t>
  </si>
  <si>
    <r>
      <rPr>
        <sz val="16"/>
        <rFont val="Calibri"/>
        <family val="2"/>
        <scheme val="minor"/>
      </rPr>
      <t>Office                 :</t>
    </r>
    <r>
      <rPr>
        <b/>
        <sz val="16"/>
        <rFont val="Calibri"/>
        <family val="2"/>
        <scheme val="minor"/>
      </rPr>
      <t xml:space="preserve"> Municipal Engineer</t>
    </r>
  </si>
  <si>
    <t>Function            : Engineering Services</t>
  </si>
  <si>
    <r>
      <rPr>
        <sz val="16"/>
        <color theme="1"/>
        <rFont val="Calibri"/>
        <family val="2"/>
        <scheme val="minor"/>
      </rPr>
      <t>Office                 :</t>
    </r>
    <r>
      <rPr>
        <b/>
        <sz val="16"/>
        <color theme="1"/>
        <rFont val="Calibri"/>
        <family val="2"/>
        <scheme val="minor"/>
      </rPr>
      <t xml:space="preserve"> Mayor's Office</t>
    </r>
  </si>
  <si>
    <t>Function             : General Services</t>
  </si>
  <si>
    <t>Project/Activity    : Legislative</t>
  </si>
  <si>
    <t>Office                    : SB - Secretariat</t>
  </si>
  <si>
    <t>Office                    : Municipal Planning &amp; Development Coord.</t>
  </si>
  <si>
    <r>
      <rPr>
        <sz val="16"/>
        <rFont val="Calibri"/>
        <family val="2"/>
        <scheme val="minor"/>
      </rPr>
      <t>Office                 :</t>
    </r>
    <r>
      <rPr>
        <b/>
        <sz val="16"/>
        <rFont val="Calibri"/>
        <family val="2"/>
        <scheme val="minor"/>
      </rPr>
      <t xml:space="preserve"> Municipal Assessor's Office</t>
    </r>
  </si>
  <si>
    <t xml:space="preserve">        Salaries and Wages- Regular</t>
  </si>
  <si>
    <t>Capital Outlay</t>
  </si>
  <si>
    <t>Annex C</t>
  </si>
  <si>
    <t>Project/Activity   : Legislative</t>
  </si>
  <si>
    <t xml:space="preserve">         Salaries and Wages- Casual</t>
  </si>
  <si>
    <t xml:space="preserve">       Hazard Pay</t>
  </si>
  <si>
    <t xml:space="preserve">      Socialized Housing </t>
  </si>
  <si>
    <t xml:space="preserve">       Repair and Maintenance constn &amp; heavy Equipment </t>
  </si>
  <si>
    <t>First Semester     (Jan.-June)</t>
  </si>
  <si>
    <t>Second Semester    (July-Dec.)</t>
  </si>
  <si>
    <t>Second Semester      (July-Dec.)</t>
  </si>
  <si>
    <t>First Semester    (Jan.-June)</t>
  </si>
  <si>
    <t>Second Semester     (July-Dec.)</t>
  </si>
  <si>
    <t>First Semester        (Jan.-June)</t>
  </si>
  <si>
    <t>Second Semester       (July-Dec.)</t>
  </si>
  <si>
    <t>First Semester  (Jan.-June)</t>
  </si>
  <si>
    <t>Second Semester          (July-Dec.)</t>
  </si>
  <si>
    <t>First Semester (Jan.-June)</t>
  </si>
  <si>
    <t>Second Semester                        (July-Dec.)</t>
  </si>
  <si>
    <t>First   Semester              (Jan.-June)</t>
  </si>
  <si>
    <t>First Semester      (Jan.-June)</t>
  </si>
  <si>
    <t>Second Semester         (July-Dec.)</t>
  </si>
  <si>
    <t>First     Semester   (Jan.-June)</t>
  </si>
  <si>
    <t>First       Semester       (Jan.-June)</t>
  </si>
  <si>
    <t>First          Semester      (Jan.-June)</t>
  </si>
  <si>
    <t>Second Semester           (July-Dec.)</t>
  </si>
  <si>
    <t>First           Semester        (Jan.-June)</t>
  </si>
  <si>
    <t>Project/Activity : Implementing &amp; Supervision</t>
  </si>
  <si>
    <t>Function                : Legislative Services</t>
  </si>
  <si>
    <t>Office                     : SB - Legislative</t>
  </si>
  <si>
    <t>Project/Activity    : Executive Services</t>
  </si>
  <si>
    <r>
      <t xml:space="preserve">Office                   : </t>
    </r>
    <r>
      <rPr>
        <b/>
        <sz val="14"/>
        <color theme="1"/>
        <rFont val="Calibri"/>
        <family val="2"/>
        <scheme val="minor"/>
      </rPr>
      <t>Municipal Accountant's Office</t>
    </r>
  </si>
  <si>
    <r>
      <rPr>
        <sz val="16"/>
        <color theme="1"/>
        <rFont val="Calibri"/>
        <family val="2"/>
        <scheme val="minor"/>
      </rPr>
      <t>Office                  :</t>
    </r>
    <r>
      <rPr>
        <b/>
        <sz val="16"/>
        <color theme="1"/>
        <rFont val="Calibri"/>
        <family val="2"/>
        <scheme val="minor"/>
      </rPr>
      <t xml:space="preserve"> Municipal Mayor - Miscellaneous(Non Office)</t>
    </r>
  </si>
  <si>
    <t>LGU: PILAR, Bohol</t>
  </si>
  <si>
    <t xml:space="preserve">       Training Expenses </t>
  </si>
  <si>
    <t xml:space="preserve">       Terminal Leave Benefits</t>
  </si>
  <si>
    <t xml:space="preserve">       Miscellaneous Exp./Insurance and Fedility Bond Premuim</t>
  </si>
  <si>
    <t xml:space="preserve">        Furniture and Fixtures</t>
  </si>
  <si>
    <t xml:space="preserve">        TOTAL CAPITAL OUTLAY</t>
  </si>
  <si>
    <t xml:space="preserve">       Furniture and Fixtures</t>
  </si>
  <si>
    <t xml:space="preserve">       Motor Vehicle/Executive Vehicle</t>
  </si>
  <si>
    <r>
      <t xml:space="preserve">       </t>
    </r>
    <r>
      <rPr>
        <b/>
        <sz val="11"/>
        <color theme="1"/>
        <rFont val="Calibri"/>
        <family val="2"/>
        <scheme val="minor"/>
      </rPr>
      <t>TOTAL CAPITAL OUTLAYS</t>
    </r>
  </si>
  <si>
    <t xml:space="preserve">        Salaries and Wages - Mun./Brgy. Bookkeeper</t>
  </si>
  <si>
    <t xml:space="preserve">        Salaries and Wages - Peace and Order</t>
  </si>
  <si>
    <t xml:space="preserve">        Salaries and Wages -  MVM Drivers &amp; Maintenance</t>
  </si>
  <si>
    <t xml:space="preserve">        Honoraria to ABTSP</t>
  </si>
  <si>
    <t xml:space="preserve">        Honoraria to LIGA ng mga Barangay</t>
  </si>
  <si>
    <t xml:space="preserve">        Honoraria to Panubig Festival Comm.</t>
  </si>
  <si>
    <t xml:space="preserve">        Honoraria to Foundation Day Comm.</t>
  </si>
  <si>
    <t xml:space="preserve">        Honoraria to Tanod</t>
  </si>
  <si>
    <t xml:space="preserve">      Aid to Barangay with high RPT Collections</t>
  </si>
  <si>
    <t xml:space="preserve">      Aid to Anti-TB</t>
  </si>
  <si>
    <t xml:space="preserve">      Aid to BSP</t>
  </si>
  <si>
    <t xml:space="preserve">      Aid to GSP</t>
  </si>
  <si>
    <t xml:space="preserve">      Subsidy to NGA (DILG)</t>
  </si>
  <si>
    <t xml:space="preserve">      Subsidy to NGA (MCTC)</t>
  </si>
  <si>
    <t xml:space="preserve">      Annual Dues-LMP</t>
  </si>
  <si>
    <t xml:space="preserve">      </t>
  </si>
  <si>
    <t xml:space="preserve">        Subsistence-CAFGU, PNP&amp;BFP</t>
  </si>
  <si>
    <t xml:space="preserve">      Subsidy to NGOs/Pos - Chaplaincy</t>
  </si>
  <si>
    <t xml:space="preserve">        Special Event - Foundation Day</t>
  </si>
  <si>
    <t xml:space="preserve">        Civil Service Day (LGU-Family Day)</t>
  </si>
  <si>
    <t>Rep. &amp; Rehab of PTVHS LOGOFIND Bldg.</t>
  </si>
  <si>
    <r>
      <t>JEAN JANIOLA-DELA PE</t>
    </r>
    <r>
      <rPr>
        <b/>
        <sz val="16"/>
        <color theme="1"/>
        <rFont val="Calibri"/>
        <family val="2"/>
      </rPr>
      <t>Ṅ</t>
    </r>
    <r>
      <rPr>
        <b/>
        <sz val="15.7"/>
        <color theme="1"/>
        <rFont val="Calibri"/>
        <family val="2"/>
      </rPr>
      <t>A</t>
    </r>
  </si>
  <si>
    <t xml:space="preserve">        Travel Expenses</t>
  </si>
  <si>
    <t xml:space="preserve">        Salaries and Wages- Casual</t>
  </si>
  <si>
    <t xml:space="preserve">       Motor Vehicle Maintenance</t>
  </si>
  <si>
    <t xml:space="preserve">       Pub. &amp; Rep. of New Codes</t>
  </si>
  <si>
    <t xml:space="preserve">      Others - Discretionary Fund</t>
  </si>
  <si>
    <t xml:space="preserve">       General Services/Office Clerk</t>
  </si>
  <si>
    <t xml:space="preserve">       Gasoline, Fuel and Lubricants</t>
  </si>
  <si>
    <t xml:space="preserve">       Aid to Sports (transferred to LBP form 2A)</t>
  </si>
  <si>
    <t xml:space="preserve">       Revision of Admin and Revenue Code</t>
  </si>
  <si>
    <t>EUGENIO DATAHAN II</t>
  </si>
  <si>
    <t>GUALBERTO JASPE</t>
  </si>
  <si>
    <t xml:space="preserve"> LGU: PILAR, Bohol</t>
  </si>
  <si>
    <t>LGU:PILAR, Bohol</t>
  </si>
  <si>
    <t>Function               : Formulates Plans and Programs of the LGU.</t>
  </si>
  <si>
    <t>Function               : Attains SB Activities</t>
  </si>
  <si>
    <t>Function            :  Direct, Controls, Supervise and Manage all LGU Affairs.</t>
  </si>
  <si>
    <t xml:space="preserve">       Advertising Expenses</t>
  </si>
  <si>
    <t>JOSEPH R. ANANIA</t>
  </si>
  <si>
    <t>Function              : Civil Registration</t>
  </si>
  <si>
    <t>MILLAN M. ESCABUSA</t>
  </si>
  <si>
    <t>Function                 : Implementing arm of the LGU on budget administration services.</t>
  </si>
  <si>
    <t xml:space="preserve">       Computer Data Processing Services (ECPAC)</t>
  </si>
  <si>
    <t xml:space="preserve">       Bids and Awards Expenses (Hon.)</t>
  </si>
  <si>
    <t>ELAINE E. RESUSTA</t>
  </si>
  <si>
    <t>Function              : Accounting Services and Internal Audit Services.</t>
  </si>
  <si>
    <t xml:space="preserve">        Office Building</t>
  </si>
  <si>
    <t>FORTUNATO C. CORCIEGA</t>
  </si>
  <si>
    <t xml:space="preserve">       Honorarium - BAC</t>
  </si>
  <si>
    <t xml:space="preserve">       Ins. Exp and Fedility Bond Premium</t>
  </si>
  <si>
    <t>SONIA L. BALDERO</t>
  </si>
  <si>
    <t>Function            :  Tax mapping and assessment.</t>
  </si>
  <si>
    <t>MA. LUISA B. TAGO</t>
  </si>
  <si>
    <t xml:space="preserve">       Special Services-RHU Extension (Midwives &amp; Clerk)</t>
  </si>
  <si>
    <t xml:space="preserve">       Special Projects - BIARPS ( MedTech Wages)</t>
  </si>
  <si>
    <t xml:space="preserve">       Terminal Fee Benefits</t>
  </si>
  <si>
    <t xml:space="preserve">       Assistance to BHW's -Honorarium</t>
  </si>
  <si>
    <t xml:space="preserve">       Philhealth Management Program</t>
  </si>
  <si>
    <t xml:space="preserve">       Contrbution to Carmen Health Dist.</t>
  </si>
  <si>
    <t>Function             : Social  Enhancement Services</t>
  </si>
  <si>
    <t xml:space="preserve">       Special DSWD Programs / Projects (0SCA)</t>
  </si>
  <si>
    <t>CARMEN C. CUBRADO</t>
  </si>
  <si>
    <t>DIOSDADO C. BALILI</t>
  </si>
  <si>
    <t xml:space="preserve">      Completion of Open Court</t>
  </si>
  <si>
    <t xml:space="preserve">       Maintenance of Tennis Court</t>
  </si>
  <si>
    <t xml:space="preserve">      Furniture and Fixtures</t>
  </si>
  <si>
    <t xml:space="preserve">      Rehabilitation of Mun. Hall</t>
  </si>
  <si>
    <r>
      <rPr>
        <sz val="16"/>
        <rFont val="Calibri"/>
        <family val="2"/>
        <scheme val="minor"/>
      </rPr>
      <t>Office                 :</t>
    </r>
    <r>
      <rPr>
        <b/>
        <sz val="16"/>
        <rFont val="Calibri"/>
        <family val="2"/>
        <scheme val="minor"/>
      </rPr>
      <t xml:space="preserve"> Mun. Envi. And Natural Resource  Office</t>
    </r>
  </si>
  <si>
    <t>Function            : Environmental and Natural Resource Management</t>
  </si>
  <si>
    <t xml:space="preserve">       Training Expenses - HRMO</t>
  </si>
  <si>
    <t xml:space="preserve">       Office Clerk/General Services-HRMO</t>
  </si>
  <si>
    <t>RAYMUND B. ANANIA</t>
  </si>
  <si>
    <r>
      <rPr>
        <sz val="16"/>
        <rFont val="Calibri"/>
        <family val="2"/>
        <scheme val="minor"/>
      </rPr>
      <t>Office                 :</t>
    </r>
    <r>
      <rPr>
        <b/>
        <sz val="16"/>
        <rFont val="Calibri"/>
        <family val="2"/>
        <scheme val="minor"/>
      </rPr>
      <t xml:space="preserve"> Local Disaster Risk Reduction Management Office</t>
    </r>
  </si>
  <si>
    <t xml:space="preserve">Project/Activity: </t>
  </si>
  <si>
    <t>Function            :   General Services</t>
  </si>
  <si>
    <t xml:space="preserve">       Eletricity</t>
  </si>
  <si>
    <t xml:space="preserve">      Inst. Of CCTV in Market Area</t>
  </si>
  <si>
    <r>
      <rPr>
        <sz val="16"/>
        <rFont val="Calibri"/>
        <family val="2"/>
        <scheme val="minor"/>
      </rPr>
      <t>Office                 :</t>
    </r>
    <r>
      <rPr>
        <b/>
        <sz val="16"/>
        <rFont val="Calibri"/>
        <family val="2"/>
        <scheme val="minor"/>
      </rPr>
      <t xml:space="preserve"> Market  Administration</t>
    </r>
  </si>
  <si>
    <t>Function            :   Economic Enterprise</t>
  </si>
  <si>
    <t xml:space="preserve">       Water Expenses</t>
  </si>
  <si>
    <r>
      <rPr>
        <sz val="16"/>
        <rFont val="Calibri"/>
        <family val="2"/>
        <scheme val="minor"/>
      </rPr>
      <t>Office                 :</t>
    </r>
    <r>
      <rPr>
        <b/>
        <sz val="16"/>
        <rFont val="Calibri"/>
        <family val="2"/>
        <scheme val="minor"/>
      </rPr>
      <t xml:space="preserve"> PIWAS ADMINISTRATION</t>
    </r>
  </si>
  <si>
    <t>Function            :   ECONOMIC ENTERPRISE</t>
  </si>
  <si>
    <t>JEAN JANIOLA- DELA PENA</t>
  </si>
  <si>
    <t xml:space="preserve">      Market Building Rep. Rehab</t>
  </si>
  <si>
    <t xml:space="preserve">        Furniture and Fixtures/Motor Vehicle</t>
  </si>
  <si>
    <t xml:space="preserve">       Motor Vehicle/Motorcycle</t>
  </si>
  <si>
    <t xml:space="preserve">        Fuel expenses</t>
  </si>
  <si>
    <t xml:space="preserve">       Telephone Expenses - Mobile &amp;internet</t>
  </si>
  <si>
    <t xml:space="preserve">       Miscellaneous Exp. (Annual Dues to VMLP)</t>
  </si>
  <si>
    <t xml:space="preserve">       Miscellaneous Exp. (Annual Dues to PCL)</t>
  </si>
  <si>
    <t xml:space="preserve">         Motor Vehicle</t>
  </si>
  <si>
    <t xml:space="preserve">      Repair &amp; Maint.-Office Equipment</t>
  </si>
  <si>
    <t xml:space="preserve">       Extra Ordinary &amp; Misc. Expenses</t>
  </si>
  <si>
    <t xml:space="preserve">      Other Services</t>
  </si>
  <si>
    <t xml:space="preserve">       Purchase of One Unit Aircondition</t>
  </si>
  <si>
    <t xml:space="preserve">       Gasoline, Oil &amp; Lubricants-MVM</t>
  </si>
  <si>
    <t xml:space="preserve">       MVM Spareparts</t>
  </si>
  <si>
    <t xml:space="preserve">       Repair Expenses</t>
  </si>
  <si>
    <t xml:space="preserve">       Other Services</t>
  </si>
  <si>
    <t xml:space="preserve">      Other services</t>
  </si>
  <si>
    <t xml:space="preserve">      Purchase of Office Furniture &amp; Equipments</t>
  </si>
  <si>
    <t xml:space="preserve">      Office Building</t>
  </si>
  <si>
    <t>+</t>
  </si>
  <si>
    <t xml:space="preserve">      CeC</t>
  </si>
  <si>
    <t xml:space="preserve">      Purchase of One Unit Aircondition</t>
  </si>
  <si>
    <t xml:space="preserve">        Town Fiesta Celebration/Panubig  Festival</t>
  </si>
  <si>
    <t xml:space="preserve">       IT Equipment/Laptop</t>
  </si>
  <si>
    <t xml:space="preserve">         Local Child Protection Program</t>
  </si>
  <si>
    <r>
      <t xml:space="preserve">      Peace and Order Program: </t>
    </r>
    <r>
      <rPr>
        <sz val="11"/>
        <color rgb="FFFF0000"/>
        <rFont val="Calibri"/>
        <family val="2"/>
        <scheme val="minor"/>
      </rPr>
      <t>Transferred to Peace &amp; Order 2A</t>
    </r>
  </si>
  <si>
    <t xml:space="preserve">      Mun. Sinage</t>
  </si>
  <si>
    <t xml:space="preserve">EUGENIO B. DATAHAN II  </t>
  </si>
  <si>
    <t xml:space="preserve">      EUGENIO DATAHAN II</t>
  </si>
  <si>
    <t xml:space="preserve">     Municipal Mayor</t>
  </si>
  <si>
    <t xml:space="preserve">             EUGENIO DATAHAN II</t>
  </si>
  <si>
    <t xml:space="preserve">             Municipal Mayor</t>
  </si>
  <si>
    <t xml:space="preserve">           EUGENIO DATAHAN II</t>
  </si>
  <si>
    <t xml:space="preserve">            Municipal Mayor</t>
  </si>
  <si>
    <t xml:space="preserve">            EUGENIO DATAHAN II</t>
  </si>
  <si>
    <t>MA. JOCELYN V. GAMBUTA</t>
  </si>
  <si>
    <t>Department Head/Designate</t>
  </si>
  <si>
    <t xml:space="preserve">  Municipal Budget Officer</t>
  </si>
  <si>
    <t xml:space="preserve">       Municipal Mayor</t>
  </si>
  <si>
    <t xml:space="preserve">   Department Head</t>
  </si>
  <si>
    <t xml:space="preserve"> Department Head</t>
  </si>
  <si>
    <t xml:space="preserve">    Department Head</t>
  </si>
  <si>
    <t xml:space="preserve">      Department Head</t>
  </si>
  <si>
    <t xml:space="preserve">        Department Head</t>
  </si>
  <si>
    <t xml:space="preserve">  Department Head</t>
  </si>
  <si>
    <t xml:space="preserve"> Municipal Budget Officer</t>
  </si>
  <si>
    <t xml:space="preserve"> Department Head-OIC</t>
  </si>
  <si>
    <t xml:space="preserve">      ADMINISTRATOR</t>
  </si>
  <si>
    <t xml:space="preserve">            Admistrator</t>
  </si>
  <si>
    <t>EDWIN S. SARDIDO</t>
  </si>
  <si>
    <t xml:space="preserve">      Municipal Mayor</t>
  </si>
  <si>
    <r>
      <t>JEAN JANIOLA-DELA PE</t>
    </r>
    <r>
      <rPr>
        <b/>
        <sz val="16"/>
        <color theme="1"/>
        <rFont val="Calibri"/>
        <family val="2"/>
      </rPr>
      <t>ṄA</t>
    </r>
  </si>
  <si>
    <t>TOTAL MAINT. &amp; OPTG. EXP.</t>
  </si>
  <si>
    <t xml:space="preserve">       Traveling Expenses -PNP</t>
  </si>
  <si>
    <t xml:space="preserve">       Traveling Expenses -BFP</t>
  </si>
  <si>
    <t xml:space="preserve">        Police Operation:</t>
  </si>
  <si>
    <t xml:space="preserve">        Oplan Tracker</t>
  </si>
  <si>
    <t xml:space="preserve">        Sec, Survey &amp; Insp. Of Vital Installation</t>
  </si>
  <si>
    <t xml:space="preserve">        Training and Seminars- Tanod</t>
  </si>
  <si>
    <t xml:space="preserve">        Training and Seminars- PNP (Markmanship)</t>
  </si>
  <si>
    <t xml:space="preserve">        Office Supplies -BFP</t>
  </si>
  <si>
    <t xml:space="preserve">        Office Supplies -PNP</t>
  </si>
  <si>
    <t xml:space="preserve">        Inteligence/Confidential Fund</t>
  </si>
  <si>
    <t xml:space="preserve">        Annual Contr. to Carmen Health District</t>
  </si>
  <si>
    <t xml:space="preserve">        Miscl. Exp.(Update Revenue Code)</t>
  </si>
  <si>
    <t xml:space="preserve">        Election Expense</t>
  </si>
  <si>
    <t xml:space="preserve">        National Election</t>
  </si>
  <si>
    <t xml:space="preserve">        Barangays Election</t>
  </si>
  <si>
    <t xml:space="preserve">       Tourism Programs:</t>
  </si>
  <si>
    <t xml:space="preserve">       Office Supplies &amp; Equipment-Tourism</t>
  </si>
  <si>
    <t xml:space="preserve">        Travel Expenses-Tourism</t>
  </si>
  <si>
    <t xml:space="preserve">        Training and Seminars-Tourism</t>
  </si>
  <si>
    <t xml:space="preserve">        Other Maint. &amp; Operating Expenses </t>
  </si>
  <si>
    <t xml:space="preserve">        Water Bill</t>
  </si>
  <si>
    <t xml:space="preserve">        Electricity Expenses</t>
  </si>
  <si>
    <t xml:space="preserve">        Publ./Advertising Exp/Mag. &amp; Newspaper Subs.</t>
  </si>
  <si>
    <t xml:space="preserve">      Subsidy to NGA (COA) [transferred to Acctg.)</t>
  </si>
  <si>
    <t xml:space="preserve">        Police sa Barangay</t>
  </si>
  <si>
    <t xml:space="preserve">        Sports Development</t>
  </si>
  <si>
    <t xml:space="preserve">        Support to BOHOLYMPICS Competition</t>
  </si>
  <si>
    <t xml:space="preserve">        Assist SK Programs</t>
  </si>
  <si>
    <t xml:space="preserve">        Support to CeC Programs-wages of Computer   Encoder assigned in TESDA</t>
  </si>
  <si>
    <t xml:space="preserve"> TOTAL CAPITAL OUTLAY</t>
  </si>
  <si>
    <t xml:space="preserve"> TOTAL MAINT. &amp; OPTG. EXP.</t>
  </si>
  <si>
    <t>TOTAL PERSONAL SERVICES</t>
  </si>
  <si>
    <t>TOTAL CAPITAL OUTLAY</t>
  </si>
  <si>
    <t xml:space="preserve">                Approved by:</t>
  </si>
  <si>
    <t xml:space="preserve">                 Approved by:</t>
  </si>
  <si>
    <t xml:space="preserve">         Approved by:</t>
  </si>
  <si>
    <t xml:space="preserve">          Approved by:</t>
  </si>
  <si>
    <t xml:space="preserve">           Approved by:</t>
  </si>
  <si>
    <t xml:space="preserve">       Travel Expenses</t>
  </si>
  <si>
    <t xml:space="preserve">    EUGENIO DATAHAN II</t>
  </si>
  <si>
    <t xml:space="preserve">        Municipal Mayor</t>
  </si>
  <si>
    <t xml:space="preserve">     Approved by:</t>
  </si>
  <si>
    <t xml:space="preserve">            Approved by:</t>
  </si>
  <si>
    <t xml:space="preserve">             Approved by:</t>
  </si>
  <si>
    <t xml:space="preserve">        MPDC                                       Municipal Budget Officer                          Municipal Mayor </t>
  </si>
  <si>
    <r>
      <t>JOSEPH R. ANANIA          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  EUGENIO B. DATAHAN II</t>
    </r>
  </si>
  <si>
    <t>Prepared by:                                   Reviewed by:                                         Approved by:</t>
  </si>
  <si>
    <t>Grand Total</t>
  </si>
  <si>
    <t>Total Capital Outlay</t>
  </si>
  <si>
    <t>Improvement of San Isidro Public Market</t>
  </si>
  <si>
    <t>Purchase of Motor Grader (NOE 2,240.000.00) (3,202.000)</t>
  </si>
  <si>
    <t>Concreting of B-Suerte Brgy. Roads</t>
  </si>
  <si>
    <t>Comp. of KC-NCCDP MP Bldg. -Cansungay</t>
  </si>
  <si>
    <t>Comp. of KC-NCCDP MP Bldg. -Cagawasan</t>
  </si>
  <si>
    <t>Comp. of KC-NCCDP MP Bldg. -Bagacay</t>
  </si>
  <si>
    <t>Comp. of KC-NCCDP MP Bldg. -Poblacion</t>
  </si>
  <si>
    <t>Comp. of KC-NCCDP MP Bldg. -Pamacsalan</t>
  </si>
  <si>
    <t>Comp. of KC-NCCDP MP Bldg. -Lumbay</t>
  </si>
  <si>
    <t>Comp. of KC-NCCDP MP Bldg. -Ilaud</t>
  </si>
  <si>
    <t>Rep. and Rehab of  Multi-Purpose Bldg.- San Vicente</t>
  </si>
  <si>
    <t>Rep. and Rehab of  Multi-Purpose Bldg.- San Isidro</t>
  </si>
  <si>
    <t>Rep. and Rehab of  Multi-Purpose Bldg.-Inaghuban</t>
  </si>
  <si>
    <t>Rep. and Rehab of  Multi-Purpose Bldg.- Estaca</t>
  </si>
  <si>
    <t>Rep. and Rehab of  Multi-Purpose Bldg.- San Carlos</t>
  </si>
  <si>
    <t>SLF Counterpart</t>
  </si>
  <si>
    <t>NHA/Pilar Resettlement Project</t>
  </si>
  <si>
    <t>DA/DENR Counterpart</t>
  </si>
  <si>
    <t>Counterpart to BUB/GPB/ADM Project</t>
  </si>
  <si>
    <t>Counterpart to KALAHI NCDDP</t>
  </si>
  <si>
    <t>Loan Amortization (CBRMP &amp; LOGOFIND)</t>
  </si>
  <si>
    <t>Slaughter house</t>
  </si>
  <si>
    <t>Roads</t>
  </si>
  <si>
    <t>Imp. &amp; Rehab of Pub. Mrkts Access Roads</t>
  </si>
  <si>
    <t>Rep. and Rehab of Brgy. Roads</t>
  </si>
  <si>
    <t>Improvement of Public Market</t>
  </si>
  <si>
    <t>Total MOOE</t>
  </si>
  <si>
    <t>BIARPS/ARCDP/ARISP/FMR/             LOGOFIND Bldg. Maintenance</t>
  </si>
  <si>
    <t>Ecological and Environmental Services</t>
  </si>
  <si>
    <t>Repair and Maint. Of Mun. Roads</t>
  </si>
  <si>
    <t>Instllation &amp; maint.of street lighting</t>
  </si>
  <si>
    <t>General Public Services</t>
  </si>
  <si>
    <t>1000-1</t>
  </si>
  <si>
    <t>Maint. &amp; Other Operating Expenses</t>
  </si>
  <si>
    <t>First Semester              (Jan.-June)</t>
  </si>
  <si>
    <t>Current Year</t>
  </si>
  <si>
    <t>Program/Project/Activity</t>
  </si>
  <si>
    <t>Sector</t>
  </si>
  <si>
    <t>AIP Reference Code</t>
  </si>
  <si>
    <t>Project/Activity    : General Administration</t>
  </si>
  <si>
    <t>Function                : General Services</t>
  </si>
  <si>
    <r>
      <t>Office                     :</t>
    </r>
    <r>
      <rPr>
        <b/>
        <sz val="16"/>
        <rFont val="Calibri"/>
        <family val="2"/>
        <scheme val="minor"/>
      </rPr>
      <t>20% Development Fund</t>
    </r>
  </si>
  <si>
    <t>PROGRAMMED APPROPRIATION AND OBLIGATION FOR SPECIAL PURPOSE APPROPRIATIONS</t>
  </si>
  <si>
    <t>Annex E</t>
  </si>
  <si>
    <t>LBP Form No. 2a</t>
  </si>
  <si>
    <r>
      <t>Office                     :</t>
    </r>
    <r>
      <rPr>
        <b/>
        <sz val="16"/>
        <rFont val="Calibri"/>
        <family val="2"/>
        <scheme val="minor"/>
      </rPr>
      <t>5% Disaster Risk Reduction Management</t>
    </r>
  </si>
  <si>
    <t>1000-01</t>
  </si>
  <si>
    <t>Other Purposes</t>
  </si>
  <si>
    <t>River Clean Up</t>
  </si>
  <si>
    <t xml:space="preserve">            Purchase of Command Center and Municipal Evacuation Equipments</t>
  </si>
  <si>
    <t>Mun. Reforestation Program</t>
  </si>
  <si>
    <t>Purchase of Shreddding Machine</t>
  </si>
  <si>
    <t>Establishement of MRF</t>
  </si>
  <si>
    <t>Purchase of Garbage Truck/Collector for Solid Waste Mgt.</t>
  </si>
  <si>
    <t>B. PREPAREDNESS</t>
  </si>
  <si>
    <t>Purchase and Installation of Radio Repeater, Base Radio &amp; Handheld Radios</t>
  </si>
  <si>
    <t>Installation of Early Warning System</t>
  </si>
  <si>
    <t>Disaster Capacity and Dev. Trainings</t>
  </si>
  <si>
    <t>Purchase of disaster response and rescue equipmenrs/Supplies</t>
  </si>
  <si>
    <t>Recovery and Rehabilitation</t>
  </si>
  <si>
    <t>Purchase of Power Generator</t>
  </si>
  <si>
    <t>Emergency Response Program</t>
  </si>
  <si>
    <t>Completion of DRRM Building</t>
  </si>
  <si>
    <t>Fab. And Inst. Of Early Warning Device</t>
  </si>
  <si>
    <t>Purchase of Disaster and Rescue Equipt.</t>
  </si>
  <si>
    <t>Purchase of IT equipments for IEC and Weather Monitoring &amp; Damage Assessment</t>
  </si>
  <si>
    <t>Prepared by:                                              Reviewed by:                            Approved by:</t>
  </si>
  <si>
    <r>
      <t>RAYMUND B. ANANIA         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 EUGENIO B. DATAHAN II  </t>
    </r>
  </si>
  <si>
    <t xml:space="preserve"> Department Head-OIC                        Municipal Budget Officer                        Municipal Mayor </t>
  </si>
  <si>
    <t xml:space="preserve">     Vice Mayor                            Municipal Budget Officer                             Municipal Mayor </t>
  </si>
  <si>
    <r>
      <t>CARLOS D. CAGAPE         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       EUGENIO B. DATAHAN II  </t>
    </r>
  </si>
  <si>
    <t>Prepared by:                                         Reviewed by:                                   Approved by:</t>
  </si>
  <si>
    <t>Support to CeC Programs -wages of Computer Encoder assigned in TESDA</t>
  </si>
  <si>
    <t>Unemployed</t>
  </si>
  <si>
    <t>Assist SK Programs</t>
  </si>
  <si>
    <t>Support to BOHOLYMPICS Competition</t>
  </si>
  <si>
    <t>Sports Development</t>
  </si>
  <si>
    <t>Youth</t>
  </si>
  <si>
    <r>
      <t>Maint. &amp; Other Operating Expenses -</t>
    </r>
    <r>
      <rPr>
        <b/>
        <sz val="11"/>
        <color rgb="FFFF0000"/>
        <rFont val="Calibri"/>
        <family val="2"/>
        <scheme val="minor"/>
      </rPr>
      <t xml:space="preserve">           Transfer to MO</t>
    </r>
  </si>
  <si>
    <t>LGU: Pilar, Bohol</t>
  </si>
  <si>
    <t xml:space="preserve">        MPDC                                           Municipal Budget Officer                       Municipal Mayor </t>
  </si>
  <si>
    <r>
      <t>JOSEPH R. ANANIA              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EUGENIO B. DATAHAN II  </t>
    </r>
  </si>
  <si>
    <t>Prepared by:                                         Reviewed by:                                     Approved by:</t>
  </si>
  <si>
    <t>Total CO</t>
  </si>
  <si>
    <t xml:space="preserve">     Other Operating Expenses</t>
  </si>
  <si>
    <t xml:space="preserve">     Office Supplies Expenses</t>
  </si>
  <si>
    <t xml:space="preserve">     Office Equipment Maintenance</t>
  </si>
  <si>
    <t xml:space="preserve">      Traveling Expenses</t>
  </si>
  <si>
    <t xml:space="preserve">     Wages for Trainor and Clerk</t>
  </si>
  <si>
    <t>CLUP/FLUP</t>
  </si>
  <si>
    <t xml:space="preserve">     Purchase of Furn. &amp; Fixt./Equipments</t>
  </si>
  <si>
    <t xml:space="preserve">     Training and seminars</t>
  </si>
  <si>
    <t xml:space="preserve">     Traveling Expenses</t>
  </si>
  <si>
    <t xml:space="preserve">     Honorarium -MCT</t>
  </si>
  <si>
    <t xml:space="preserve">     Wages - Municipal Counterpart Personel</t>
  </si>
  <si>
    <t>KALAHI CIDDS - NCDDP:</t>
  </si>
  <si>
    <t xml:space="preserve">      Purchase of Equip. (Grasscutter)</t>
  </si>
  <si>
    <t xml:space="preserve">     Rep. and Maint.</t>
  </si>
  <si>
    <t xml:space="preserve">      Fuel, Oil and Lubricants</t>
  </si>
  <si>
    <t xml:space="preserve">     Wages</t>
  </si>
  <si>
    <t>Maint. Of Municipal Cemetery:</t>
  </si>
  <si>
    <t xml:space="preserve">     Supplies</t>
  </si>
  <si>
    <t>Xerox and Riso Machine Maintenance:</t>
  </si>
  <si>
    <t xml:space="preserve">       Other Operating and Maint. Expenses</t>
  </si>
  <si>
    <t xml:space="preserve">      Wages</t>
  </si>
  <si>
    <t>Local Poverty Reduction and Alivation Program:</t>
  </si>
  <si>
    <t>LIE</t>
  </si>
  <si>
    <t xml:space="preserve">       MPDC                                      Municipal Budget Officer                          Municipal Mayor </t>
  </si>
  <si>
    <r>
      <t>JOSEPH R. ANANIA         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 EUGENIO B. DATAHAN II  </t>
    </r>
  </si>
  <si>
    <t>Prepared by:                                   Reviewed by:                                        Approved by:</t>
  </si>
  <si>
    <t xml:space="preserve">      - Rizal</t>
  </si>
  <si>
    <t xml:space="preserve">      - Lundag</t>
  </si>
  <si>
    <t xml:space="preserve">      - La Suerte</t>
  </si>
  <si>
    <t xml:space="preserve">      - Del Pilar</t>
  </si>
  <si>
    <t xml:space="preserve">      - Catagdaan</t>
  </si>
  <si>
    <t xml:space="preserve">      - Bayong</t>
  </si>
  <si>
    <t xml:space="preserve">      - Bagumbayan</t>
  </si>
  <si>
    <t xml:space="preserve">      - Aurora</t>
  </si>
  <si>
    <t xml:space="preserve">   Repair and Rehab. Of Brgy. Hall</t>
  </si>
  <si>
    <t>Capital Outlay:</t>
  </si>
  <si>
    <t xml:space="preserve"> Department Head                                    Municipal Budget Officer                                  Municipal Mayor </t>
  </si>
  <si>
    <r>
      <t>SONIA L. BALDERO                    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          EUGENIO B. DATAHAN II  </t>
    </r>
  </si>
  <si>
    <t>Prepared by:                                              Reviewed by:                                                Approved by:</t>
  </si>
  <si>
    <t xml:space="preserve">      Gasoline/Traveling Expenses</t>
  </si>
  <si>
    <t xml:space="preserve">       Wages</t>
  </si>
  <si>
    <t xml:space="preserve">      Supplies</t>
  </si>
  <si>
    <t>RPT REVISION:</t>
  </si>
  <si>
    <t xml:space="preserve">      Processing Fee</t>
  </si>
  <si>
    <t xml:space="preserve">      Notarial Fee</t>
  </si>
  <si>
    <t>LAND TITLING:</t>
  </si>
  <si>
    <t xml:space="preserve">   Department Head                             Municipal Budget Officer                              Municipal Mayor </t>
  </si>
  <si>
    <r>
      <t>MA. JOCELYN V. GAMBUTA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     EUGENIO B. DATAHAN II  </t>
    </r>
  </si>
  <si>
    <t>Prepared by:                                        Reviewed by:                                            Approved by:</t>
  </si>
  <si>
    <t>Death Aid</t>
  </si>
  <si>
    <t xml:space="preserve">      Honorarium to Officers</t>
  </si>
  <si>
    <t>AID TO PWD:</t>
  </si>
  <si>
    <t xml:space="preserve">      Financial Assistance to Centenarian (2@20000)</t>
  </si>
  <si>
    <t xml:space="preserve">      Special Events- OSCA Week</t>
  </si>
  <si>
    <r>
      <t xml:space="preserve">AID TO OSCA: </t>
    </r>
    <r>
      <rPr>
        <b/>
        <sz val="11"/>
        <color rgb="FFFF0000"/>
        <rFont val="Calibri"/>
        <family val="2"/>
        <scheme val="minor"/>
      </rPr>
      <t>Transfer to PWD</t>
    </r>
  </si>
  <si>
    <t xml:space="preserve">  Department Head                      Municipal Budget Officer                       Municipal Mayor </t>
  </si>
  <si>
    <r>
      <t>CARMEN C. CUBRADO 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 EUGENIO B. DATAHAN II  </t>
    </r>
  </si>
  <si>
    <t>Prepared by:                                        Reviewed by:                                Approved by:</t>
  </si>
  <si>
    <t>DOG ELIMINATION PROGRAM:</t>
  </si>
  <si>
    <t xml:space="preserve">      Dewormer</t>
  </si>
  <si>
    <t xml:space="preserve">      Liguid Nitrogen</t>
  </si>
  <si>
    <t>MEDICINE:</t>
  </si>
  <si>
    <t xml:space="preserve">      Pur. Of Other Accessories</t>
  </si>
  <si>
    <t xml:space="preserve">      Purchase of Welding Machine</t>
  </si>
  <si>
    <t xml:space="preserve">      Oil and Lubricants</t>
  </si>
  <si>
    <t>TRACTOR MAINTENANCE:</t>
  </si>
  <si>
    <t>PILAR DAM:</t>
  </si>
  <si>
    <t>PALAYAMANAN:</t>
  </si>
  <si>
    <t xml:space="preserve"> Department Head                          Municipal Budget Officer                       Municipal Mayor </t>
  </si>
  <si>
    <r>
      <t>EDWIN S. SARDIDO                      JEAN JANIOLA-DELA PE</t>
    </r>
    <r>
      <rPr>
        <b/>
        <sz val="16"/>
        <color theme="1"/>
        <rFont val="Calibri"/>
        <family val="2"/>
      </rPr>
      <t>ṄA</t>
    </r>
    <r>
      <rPr>
        <b/>
        <sz val="16"/>
        <color theme="1"/>
        <rFont val="Calibri"/>
        <family val="2"/>
        <scheme val="minor"/>
      </rPr>
      <t xml:space="preserve">                 EUGENIO B. DATAHAN II  </t>
    </r>
  </si>
  <si>
    <t>Prepared by:                                           Reviewed by:                                Approved by:</t>
  </si>
  <si>
    <t>-</t>
  </si>
  <si>
    <t xml:space="preserve">     Provision for SWM Operation</t>
  </si>
  <si>
    <t xml:space="preserve">     Fuel Used in Garbage Collection</t>
  </si>
  <si>
    <t>SOLID WASTE MANAGEMENT PROGRAM</t>
  </si>
  <si>
    <t xml:space="preserve">      Training and Seminars</t>
  </si>
  <si>
    <t xml:space="preserve">      Counter Part </t>
  </si>
  <si>
    <r>
      <t xml:space="preserve">CAROOD PROGRAM -  </t>
    </r>
    <r>
      <rPr>
        <b/>
        <sz val="11"/>
        <color rgb="FFFF0000"/>
        <rFont val="Calibri"/>
        <family val="2"/>
        <scheme val="minor"/>
      </rPr>
      <t>Transfer to GAD</t>
    </r>
  </si>
  <si>
    <t xml:space="preserve">      Other Operating Expenses</t>
  </si>
  <si>
    <t xml:space="preserve">      Supplies and Materials</t>
  </si>
  <si>
    <t>MAINT. OF PIWARDEP NURSERY</t>
  </si>
  <si>
    <t>MAINTENANCE OF CENTENIAL FOREST</t>
  </si>
  <si>
    <t xml:space="preserve">     Fuel                                     </t>
  </si>
  <si>
    <r>
      <t xml:space="preserve">CLEAN AND GREEN - </t>
    </r>
    <r>
      <rPr>
        <b/>
        <sz val="11"/>
        <color rgb="FFFF0000"/>
        <rFont val="Calibri"/>
        <family val="2"/>
        <scheme val="minor"/>
      </rPr>
      <t xml:space="preserve"> Transfer to GAD</t>
    </r>
  </si>
  <si>
    <t xml:space="preserve">     Department Head</t>
  </si>
  <si>
    <t>EUGENIO B. DATAHAN II</t>
  </si>
  <si>
    <t>JEAN JANIOLA-DELA PEÑA</t>
  </si>
  <si>
    <t>Icpc</t>
  </si>
  <si>
    <t xml:space="preserve">      Other Operating Exp. VAWC/CICL Programs</t>
  </si>
  <si>
    <t xml:space="preserve">      Children's Program/Activities (Congress)</t>
  </si>
  <si>
    <t xml:space="preserve">       SK Programs/Activities (YDS)</t>
  </si>
  <si>
    <t xml:space="preserve">       Salaries and Wages- ECD Workers</t>
  </si>
  <si>
    <t xml:space="preserve">       Salaries and Wages- DCC</t>
  </si>
  <si>
    <t xml:space="preserve"> (Proposed)   </t>
  </si>
  <si>
    <t xml:space="preserve">Second Semester (July-Dec.) (Estimate) </t>
  </si>
  <si>
    <t xml:space="preserve">First Semester (Jan.-June) (Actual) </t>
  </si>
  <si>
    <t xml:space="preserve">Past Year (Actual) </t>
  </si>
  <si>
    <t xml:space="preserve">    APPROPRIATION FOR PROJECTS RELATED TO LOCAL CHILD PROTECTION PROGRAM</t>
  </si>
  <si>
    <t>Traveling Expenses</t>
  </si>
  <si>
    <t>Honorarium to Officers</t>
  </si>
  <si>
    <t>Financial Assistance to Centenarian (2@20000)</t>
  </si>
  <si>
    <t>Special Events-OSCA Week</t>
  </si>
  <si>
    <t>Supplies</t>
  </si>
  <si>
    <t>AID TO OSCA:</t>
  </si>
  <si>
    <t>Assessors- Paula Atup</t>
  </si>
  <si>
    <t>SB- Elsie E. Amila</t>
  </si>
  <si>
    <t>MTO- Anna Marie Alterado</t>
  </si>
  <si>
    <t>Salaries and Wages- RHU Ext.</t>
  </si>
  <si>
    <t>Salaries and Wages- Paulino Ladao</t>
  </si>
  <si>
    <t>Salaries and Wages- Ferdinand B. Juares</t>
  </si>
  <si>
    <t>Salaries and Wages- Market</t>
  </si>
  <si>
    <t>Salaries and Wages- Cresencia Balaba</t>
  </si>
  <si>
    <t>Salaries and Wages- Charles Cabanig</t>
  </si>
  <si>
    <r>
      <t>Salaries and Wages-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Lordes Lusica</t>
    </r>
  </si>
  <si>
    <t>Salaries and Wages- Cesar Maslog</t>
  </si>
  <si>
    <t>Salaries and Wages- Camelo Balistoy</t>
  </si>
  <si>
    <t>Salaries and Wages- Ma. Conception Aurigue</t>
  </si>
  <si>
    <t>Salaries and Wages- Adolfo Espuelas</t>
  </si>
  <si>
    <t>Salaries and Wages- Catherine Tapitan</t>
  </si>
  <si>
    <t>Mayors:</t>
  </si>
  <si>
    <t xml:space="preserve">(Proposed)   </t>
  </si>
  <si>
    <t xml:space="preserve">Budget Year       </t>
  </si>
  <si>
    <t xml:space="preserve">    APPROPRIATION FOR PROJECTS RELATED TO PWD/OSCA PROGRAM</t>
  </si>
  <si>
    <t xml:space="preserve">              Municipal Mayor</t>
  </si>
  <si>
    <t xml:space="preserve">        EUGENIO B. DATAHAN II  </t>
  </si>
  <si>
    <t xml:space="preserve"> EUGENIO B. DATAHAN II  </t>
  </si>
  <si>
    <t xml:space="preserve"> Salaries and Wages- School Workers/Guards (Aid to Pilar District)</t>
  </si>
  <si>
    <t xml:space="preserve">        Counter Part</t>
  </si>
  <si>
    <t>CAROOD PROGRAM:</t>
  </si>
  <si>
    <t xml:space="preserve">        Other Operating Expenses</t>
  </si>
  <si>
    <t xml:space="preserve">        Supplies and Materials</t>
  </si>
  <si>
    <t xml:space="preserve">        Fuel</t>
  </si>
  <si>
    <t xml:space="preserve">        Wages</t>
  </si>
  <si>
    <t>CLEAN AND GREEN:</t>
  </si>
  <si>
    <t xml:space="preserve">        Special Events- Women's Month Celebration</t>
  </si>
  <si>
    <t xml:space="preserve">        Hon.</t>
  </si>
  <si>
    <t>Aid to Women's:</t>
  </si>
  <si>
    <t xml:space="preserve">       Other Operating Expenses</t>
  </si>
  <si>
    <t xml:space="preserve">       Office Supplies Expenses</t>
  </si>
  <si>
    <t xml:space="preserve">       Office Equipment Maintenance</t>
  </si>
  <si>
    <t xml:space="preserve">       Traveling Expenses</t>
  </si>
  <si>
    <t xml:space="preserve">       Wages for Trainor and Clerk</t>
  </si>
  <si>
    <t>TESDA:</t>
  </si>
  <si>
    <t xml:space="preserve">       Carmen District Contribution</t>
  </si>
  <si>
    <t xml:space="preserve">       Assistance to BHW's- Honorarium</t>
  </si>
  <si>
    <t xml:space="preserve">       Special Projects- BIARPS (MedTech Wages)  </t>
  </si>
  <si>
    <t xml:space="preserve">       Special Services- RHU Extension (Midwives &amp; Clerk) </t>
  </si>
  <si>
    <t xml:space="preserve">       Honorarium- COCO FARMER</t>
  </si>
  <si>
    <t xml:space="preserve">       Honorarium- FA</t>
  </si>
  <si>
    <t xml:space="preserve">       Honorarium- BNS</t>
  </si>
  <si>
    <t xml:space="preserve">       Honorarium- BALA</t>
  </si>
  <si>
    <t>ORGANIZATION MAINTENANCE:</t>
  </si>
  <si>
    <t xml:space="preserve">       Capability Training</t>
  </si>
  <si>
    <t xml:space="preserve">       Supplies and Materials</t>
  </si>
  <si>
    <t xml:space="preserve">       Fuel for Mobilization</t>
  </si>
  <si>
    <t xml:space="preserve">       Electricity Expenses in Demo Farm</t>
  </si>
  <si>
    <t xml:space="preserve">       Irrigation Fee</t>
  </si>
  <si>
    <t xml:space="preserve">       Pur. Of Pesticides and Fungicides</t>
  </si>
  <si>
    <t xml:space="preserve">       Diesel/Fuel for tractor</t>
  </si>
  <si>
    <t xml:space="preserve">       Labor and Turtle Services</t>
  </si>
  <si>
    <t xml:space="preserve">       Fertilizers for Crop</t>
  </si>
  <si>
    <t xml:space="preserve">       Purchase of Nitrogen for Large Cattle</t>
  </si>
  <si>
    <t>LIVELIHOOD PROJECTS:</t>
  </si>
  <si>
    <t xml:space="preserve">       Bldg. Repair and Maintenance</t>
  </si>
  <si>
    <t xml:space="preserve">       Feeds and Biologics</t>
  </si>
  <si>
    <t>SWINE BREEDING SYSTEM AND FISH POND PROJECTS:</t>
  </si>
  <si>
    <t xml:space="preserve">        Feedings and Seminars</t>
  </si>
  <si>
    <t xml:space="preserve">        Office Supplies</t>
  </si>
  <si>
    <t xml:space="preserve">        Traveling Expenses</t>
  </si>
  <si>
    <t>NUTRITION PROGRAM:</t>
  </si>
  <si>
    <t xml:space="preserve">        Trainings</t>
  </si>
  <si>
    <t xml:space="preserve">        Baftech Honorarium</t>
  </si>
  <si>
    <t xml:space="preserve">        Const. of Storage Room</t>
  </si>
  <si>
    <t xml:space="preserve">        Life Ins. For Brgy./Community Volunteers</t>
  </si>
  <si>
    <t xml:space="preserve">        Traveling Expenses- NACPHIL</t>
  </si>
  <si>
    <t xml:space="preserve">        Office Supplies &amp; Equipment- NACPHIL</t>
  </si>
  <si>
    <t xml:space="preserve">        Training &amp; Seminars- NACPHIL</t>
  </si>
  <si>
    <t>Subsidy to NGOs/Pos- Chaplaincy</t>
  </si>
  <si>
    <t>Donations (Emergency Assist.-AICS MSWD)</t>
  </si>
  <si>
    <t>Donations (Emergency Assist.-AICS)</t>
  </si>
  <si>
    <t>Past Year (Actual)</t>
  </si>
  <si>
    <t xml:space="preserve">  APPROPRIATION FOR PROJECTS RELATED TO GENDER AWARENESS AND DEVELOPMENT PROGRAM</t>
  </si>
  <si>
    <t xml:space="preserve">               Municipal Mayor</t>
  </si>
  <si>
    <t xml:space="preserve">   Department Head                                                 Municipal Budget Officer</t>
  </si>
  <si>
    <t xml:space="preserve">       EUGENIO B. DATAHAN II  </t>
  </si>
  <si>
    <t xml:space="preserve">EUGENIO B. DATAHAN II                                    JEAN JANIOLA-DELA PEÑA                                     </t>
  </si>
  <si>
    <t>TOTAL FOR PEACE AND ORDER PROGRAM BUDGET</t>
  </si>
  <si>
    <t>Other Peace and Order Related Trainings</t>
  </si>
  <si>
    <t>PLED</t>
  </si>
  <si>
    <t>BPATs</t>
  </si>
  <si>
    <t>BIN</t>
  </si>
  <si>
    <t>Tanod Trainings</t>
  </si>
  <si>
    <t>Katarungang Pambarangay (KP) Refresher Cources</t>
  </si>
  <si>
    <t>Enforcement Agencies &amp; Volunteers/Partners such as:</t>
  </si>
  <si>
    <t>Aid and/or Capability Development Programs to Personnel of Law</t>
  </si>
  <si>
    <t>Conduct of other Peace and Order realted Programs</t>
  </si>
  <si>
    <t xml:space="preserve">       Smuggling of Goods and Persons</t>
  </si>
  <si>
    <t xml:space="preserve">       Cybercrimes</t>
  </si>
  <si>
    <t xml:space="preserve">        Illegal Trafficking in Persons</t>
  </si>
  <si>
    <t xml:space="preserve">        Environmental Protection</t>
  </si>
  <si>
    <t xml:space="preserve">        Counterinsurgery and/or Counterterrorism</t>
  </si>
  <si>
    <t xml:space="preserve">        Anti-illegal Gambling</t>
  </si>
  <si>
    <t xml:space="preserve">        Crime Prevention</t>
  </si>
  <si>
    <t>Implementation and Enforcement of Programs for Special Themes or Special concerns of the LGU such as:</t>
  </si>
  <si>
    <t xml:space="preserve">         on the Security &amp; Peace and Order Situation</t>
  </si>
  <si>
    <t xml:space="preserve">         Formulation and Conduct or Perception Survey focused </t>
  </si>
  <si>
    <t xml:space="preserve">         Conduct of Community-Based Activities</t>
  </si>
  <si>
    <t xml:space="preserve">         Increase in Police Visibility</t>
  </si>
  <si>
    <t>(CSOP) System such as:</t>
  </si>
  <si>
    <t>Implementation of the Community and Service-Oriented Policing</t>
  </si>
  <si>
    <t xml:space="preserve">         Banatay Eskwela (Manman Kalye)</t>
  </si>
  <si>
    <t xml:space="preserve">         Bantay Lakbay (Bantay Turista)</t>
  </si>
  <si>
    <t xml:space="preserve">         Bantay Lakbay (Manman Kalsada)</t>
  </si>
  <si>
    <t xml:space="preserve">         Oplan Sumpo Krimen</t>
  </si>
  <si>
    <t xml:space="preserve">         Oplan Tracker</t>
  </si>
  <si>
    <t xml:space="preserve">         Oplan Bakal Sita &amp; Implementation of WOA</t>
  </si>
  <si>
    <t xml:space="preserve">         Oplan Katok</t>
  </si>
  <si>
    <t xml:space="preserve">         Oplan Lambat-Sibat</t>
  </si>
  <si>
    <t>Support to Programs of PNP such as:</t>
  </si>
  <si>
    <t xml:space="preserve">          involved in the CBRP-Wow &amp; MIOP Program Implementation</t>
  </si>
  <si>
    <t xml:space="preserve">          Support to CSO/Pos (NACPHIL and others stakeholders)</t>
  </si>
  <si>
    <t xml:space="preserve">          Wow &amp; MIOP Program</t>
  </si>
  <si>
    <t xml:space="preserve">          Aid to Barangay on the Implementation of CBRP-</t>
  </si>
  <si>
    <t xml:space="preserve">          Program to all Barangays</t>
  </si>
  <si>
    <t xml:space="preserve">           Implementation of the CBRP-Wow &amp; MIOP </t>
  </si>
  <si>
    <t xml:space="preserve">           Interventionist on CBRP-Wow and MIOP Program</t>
  </si>
  <si>
    <t xml:space="preserve">           Conduct of Orientation to Barangay Officials &amp;    </t>
  </si>
  <si>
    <t xml:space="preserve">           Conduct of Anti-Illegal Drug Symposium</t>
  </si>
  <si>
    <t xml:space="preserve">           MASA MASID Program</t>
  </si>
  <si>
    <t xml:space="preserve">           Conduct of Anti-Illegal Drug Operation</t>
  </si>
  <si>
    <t xml:space="preserve">           Illegal Drugs   Surrenderee</t>
  </si>
  <si>
    <t xml:space="preserve">          Operation Tokhang/Double Barrel on</t>
  </si>
  <si>
    <t xml:space="preserve">          Strengthen Functionalities of ADACs at all levels</t>
  </si>
  <si>
    <t>Support to Anti-Illegal Drug Programs such as:</t>
  </si>
  <si>
    <t xml:space="preserve">           Casual Personnel</t>
  </si>
  <si>
    <t xml:space="preserve">           Internet Connection</t>
  </si>
  <si>
    <t xml:space="preserve">           Equipment and Office Supplies</t>
  </si>
  <si>
    <t xml:space="preserve">           Subsistence to PNP &amp; BFP</t>
  </si>
  <si>
    <t>Provision of Personnel, Finacial Support, &amp; other Administrative Services to the POC Secretariat</t>
  </si>
  <si>
    <t>POPS Plan Assessment &amp; Evaluation Workshop</t>
  </si>
  <si>
    <t>Formulation and Improvement of Peace and Order &amp; Public Safety Security Policies</t>
  </si>
  <si>
    <t>Conduct of Regular Municipal Peace &amp; Order Meeting</t>
  </si>
  <si>
    <t>Conduct of Organizational, Coordination and/or Inter-Agency Meetings</t>
  </si>
  <si>
    <t xml:space="preserve">           POLICIES, PROGRAMS, PROJECTS, SERVICES AND ACTIVITIES 2018</t>
  </si>
  <si>
    <t xml:space="preserve">           PEACE AND ORDER AND PUBLIC SAFETY BUDGET FOR THE PERIOD 2018</t>
  </si>
  <si>
    <t>FDPP Form 1b - Annual Budget (Summary)</t>
  </si>
  <si>
    <t>(DBM LBP Form No. 3)</t>
  </si>
  <si>
    <t>CY 2018</t>
  </si>
  <si>
    <t>LGU-PILAR, BOHOL</t>
  </si>
  <si>
    <t>Object of Expenditures</t>
  </si>
  <si>
    <t xml:space="preserve">Current Year </t>
  </si>
  <si>
    <t xml:space="preserve">Budget Year </t>
  </si>
  <si>
    <t>Jan.-June, 2017</t>
  </si>
  <si>
    <t>July-Dec., 2017</t>
  </si>
  <si>
    <t xml:space="preserve">    Personal Services</t>
  </si>
  <si>
    <t xml:space="preserve">          Salaries and Wages</t>
  </si>
  <si>
    <t xml:space="preserve">         Traveling Allowance</t>
  </si>
  <si>
    <t xml:space="preserve">    Total PS</t>
  </si>
  <si>
    <t xml:space="preserve">    Maintenance and Other Operating Expenses</t>
  </si>
  <si>
    <t xml:space="preserve">       Telephone Expenses - Mobile</t>
  </si>
  <si>
    <t xml:space="preserve">       Gasoline and Lubricants</t>
  </si>
  <si>
    <t xml:space="preserve">       General services -Mayor's</t>
  </si>
  <si>
    <t xml:space="preserve">      Advertising Expenses</t>
  </si>
  <si>
    <t>Transferred to GAD</t>
  </si>
  <si>
    <t>Transferred to OSCA?PWD</t>
  </si>
  <si>
    <t xml:space="preserve">      SK Programs/Activities (YDS)</t>
  </si>
  <si>
    <t>Transferred to LCPP</t>
  </si>
  <si>
    <t xml:space="preserve">      PLEB</t>
  </si>
  <si>
    <t xml:space="preserve">      Chidren's Program/Activities (Congress)</t>
  </si>
  <si>
    <t xml:space="preserve">      Other Operating Exp. - VAWC/CICL Programs</t>
  </si>
  <si>
    <t xml:space="preserve">      Special Project/PESO</t>
  </si>
  <si>
    <t xml:space="preserve">      Donations (Emergency Assist.-AICS)</t>
  </si>
  <si>
    <t xml:space="preserve">      Donations (Emergency Assist.-AICS MSWD)</t>
  </si>
  <si>
    <t xml:space="preserve">      Publ./Advertising Exp/Mag. &amp; Newspaper Subs.</t>
  </si>
  <si>
    <t xml:space="preserve">         Gasoline, Oil &amp; Lubricants-MVM</t>
  </si>
  <si>
    <t xml:space="preserve">          MVM Spareparts</t>
  </si>
  <si>
    <t xml:space="preserve">         Repair Expenses</t>
  </si>
  <si>
    <t xml:space="preserve">       Subsidy to NGA (COA) [transferred to Acctg.)</t>
  </si>
  <si>
    <t xml:space="preserve">      Peace and Order Program:  Transferred to P&amp;O Program</t>
  </si>
  <si>
    <t xml:space="preserve">          Traveling Expenses -PNP</t>
  </si>
  <si>
    <t xml:space="preserve">          Traveling Expenses -BFP</t>
  </si>
  <si>
    <t xml:space="preserve">           Police Operation:</t>
  </si>
  <si>
    <t xml:space="preserve">             PDB/Oplan Tokhang/HVT/LVT Surrenderee</t>
  </si>
  <si>
    <t xml:space="preserve">             Drug Operation</t>
  </si>
  <si>
    <t xml:space="preserve">             Police sa Barangay</t>
  </si>
  <si>
    <t xml:space="preserve">             Oplan Tracker</t>
  </si>
  <si>
    <t xml:space="preserve">             Sec, Survey &amp; Insp. Of Vital Installation</t>
  </si>
  <si>
    <t xml:space="preserve">          Information Drive Awareness</t>
  </si>
  <si>
    <t xml:space="preserve">          Training and Seminars- BPATS</t>
  </si>
  <si>
    <t xml:space="preserve">          Training and Seminars- BIN</t>
  </si>
  <si>
    <t xml:space="preserve">          Training and Seminars- Tanod</t>
  </si>
  <si>
    <t xml:space="preserve">          Training and Seminars- PNP (Markmanship)</t>
  </si>
  <si>
    <t xml:space="preserve">          Office Supplies -BFP</t>
  </si>
  <si>
    <t xml:space="preserve">          Office Supplies -PNP</t>
  </si>
  <si>
    <t xml:space="preserve">          Inteligence/Confidential Fund</t>
  </si>
  <si>
    <t xml:space="preserve">      Barangays Election</t>
  </si>
  <si>
    <t xml:space="preserve">      Tourism Programs:</t>
  </si>
  <si>
    <t xml:space="preserve">          Office Supplies &amp; Equipment-Tourism</t>
  </si>
  <si>
    <t xml:space="preserve">           Travel Expenses-Tourism</t>
  </si>
  <si>
    <t xml:space="preserve">           Training and Seminars-Tourism</t>
  </si>
  <si>
    <t xml:space="preserve">           Other Maint. &amp; Operating Expenses </t>
  </si>
  <si>
    <t xml:space="preserve">       Water Bill</t>
  </si>
  <si>
    <t xml:space="preserve">       Electricity Expenses</t>
  </si>
  <si>
    <t xml:space="preserve">        Town Feista Celebration/Panubig  Festival</t>
  </si>
  <si>
    <t xml:space="preserve">         Life Ins. For Brgy./Community Volunteers</t>
  </si>
  <si>
    <t xml:space="preserve">        Salaries and Wages - DCC</t>
  </si>
  <si>
    <t xml:space="preserve">        Salaries and Wages - Peace and Order(Transferred to P&amp;O)</t>
  </si>
  <si>
    <t xml:space="preserve">        Salaries and Wages -  ECD Workers</t>
  </si>
  <si>
    <t>Trasfered to LCPP</t>
  </si>
  <si>
    <t xml:space="preserve">        Salaries and Wages -  School Workers/Guards (Aid to Pilar District)</t>
  </si>
  <si>
    <t xml:space="preserve">        Honoraria to Tanod (Transferred to P&amp;O)</t>
  </si>
  <si>
    <t xml:space="preserve">        Subsistence-CAFGU, PNP&amp;BFP (Transferred to P&amp;O)</t>
  </si>
  <si>
    <t xml:space="preserve">       Miscellaneous Exp. (Aid to VMLP)</t>
  </si>
  <si>
    <t xml:space="preserve">       Miscellaneous Exp. (Aid to PCL)</t>
  </si>
  <si>
    <t xml:space="preserve">        Clean &amp; Green Program(transfer to Menro)</t>
  </si>
  <si>
    <t xml:space="preserve">        Sports development Prog/Special Events </t>
  </si>
  <si>
    <t xml:space="preserve">       Family Planning Supplies</t>
  </si>
  <si>
    <t xml:space="preserve">       Titling of LGU Lot</t>
  </si>
  <si>
    <t xml:space="preserve">       BHW Day</t>
  </si>
  <si>
    <t xml:space="preserve">       Other Maintenance (Tourism promotion)</t>
  </si>
  <si>
    <t xml:space="preserve">       Individual Titling</t>
  </si>
  <si>
    <t xml:space="preserve">       Aid to Women's -GAD (transferred to MSWD)</t>
  </si>
  <si>
    <t xml:space="preserve">       Aid to Women's -Women's Celebration (MSWD)</t>
  </si>
  <si>
    <t xml:space="preserve">       Aid to BHW's (transferred to RHU)</t>
  </si>
  <si>
    <t xml:space="preserve">      Aid to BNS (transferred to MAO)</t>
  </si>
  <si>
    <t xml:space="preserve">      Death Aid</t>
  </si>
  <si>
    <t xml:space="preserve">      Aid to Coco Farmers (transferred to MAO)</t>
  </si>
  <si>
    <t xml:space="preserve">      Maint. Of Mun. Cemetery</t>
  </si>
  <si>
    <t xml:space="preserve">      Nutrition Program-wages</t>
  </si>
  <si>
    <t xml:space="preserve">      Nutrition Program-feeding and seminars</t>
  </si>
  <si>
    <t xml:space="preserve">      Nutrition Program-Office Supplies</t>
  </si>
  <si>
    <t xml:space="preserve">      Nutrition Program-Traveling Expenses</t>
  </si>
  <si>
    <t xml:space="preserve">      TESDA (transferred to MPDC)</t>
  </si>
  <si>
    <t xml:space="preserve">      Swine Breeding and Fish Pond-Wages (MAO)</t>
  </si>
  <si>
    <t xml:space="preserve">      Swine Breeding and Fish Pond-Feeds and Biologics</t>
  </si>
  <si>
    <t xml:space="preserve">      Swine Breeding and Fish Pond-Rep. &amp; Maint.</t>
  </si>
  <si>
    <t xml:space="preserve">     BIARPS/ARISP/ARCDP/FMR/ LOGOFIND Bldg.</t>
  </si>
  <si>
    <t xml:space="preserve">     PILAR DAM (tranfered to MAO)</t>
  </si>
  <si>
    <t xml:space="preserve">     KALAHI-CIDSS KKB Counterpart (transferred t0 MPDC)</t>
  </si>
  <si>
    <t xml:space="preserve">     LPRAP (Transferred to MPDC)</t>
  </si>
  <si>
    <t xml:space="preserve">     BPLO (transferred to MTO)</t>
  </si>
  <si>
    <t xml:space="preserve">     Completion of Open Court (Transferred to ME)</t>
  </si>
  <si>
    <t xml:space="preserve">     Philhealth Counterpart (Transferred to RHU)</t>
  </si>
  <si>
    <t xml:space="preserve">     Landscaping of Mun. Plaza</t>
  </si>
  <si>
    <t xml:space="preserve">     Rehabilitation of Mun. Hall</t>
  </si>
  <si>
    <t xml:space="preserve">    CLUP/FLUP</t>
  </si>
  <si>
    <t xml:space="preserve">    Centenial Forest Maint. (transferred to MENRO)</t>
  </si>
  <si>
    <t xml:space="preserve">    PIWARDEP Nursery Maint. (trasferred to MENRO)</t>
  </si>
  <si>
    <t xml:space="preserve">    CAROOD Counterpart (transferred to MENRO)</t>
  </si>
  <si>
    <t xml:space="preserve">    National Sanitation</t>
  </si>
  <si>
    <t xml:space="preserve">    Repair of Tennis Court</t>
  </si>
  <si>
    <t xml:space="preserve">    Aid to CDW &amp;DCW</t>
  </si>
  <si>
    <t xml:space="preserve">    Capital Outlay</t>
  </si>
  <si>
    <t xml:space="preserve">           Furniture and Fixtures</t>
  </si>
  <si>
    <t xml:space="preserve">           Motor Vehicle/Executive Vehicle</t>
  </si>
  <si>
    <t>Furniture&amp;Fixture -NACPHIL</t>
  </si>
  <si>
    <t>IT Equipt. &amp; software -Tourism</t>
  </si>
  <si>
    <t>IT Equipt. &amp; software -PNP</t>
  </si>
  <si>
    <t>IT Equipt. &amp; software - Computer BFP</t>
  </si>
  <si>
    <t>Bagumbayan Principal Office-Completion</t>
  </si>
  <si>
    <t>Monochrome Photocopier</t>
  </si>
  <si>
    <t xml:space="preserve">           Office Building</t>
  </si>
  <si>
    <t xml:space="preserve">           Completion of Open Court</t>
  </si>
  <si>
    <t xml:space="preserve">           Rehabilitation of Mun. Hall</t>
  </si>
  <si>
    <t xml:space="preserve">           Inst. Of CCTV in Market Area</t>
  </si>
  <si>
    <t>Office Equipment(1 unit chain block 1.5 tons)</t>
  </si>
  <si>
    <t>Other Assets</t>
  </si>
  <si>
    <t>Other Machinery Equipt(P-Generator Set)</t>
  </si>
  <si>
    <t>Purchase of Biometric</t>
  </si>
  <si>
    <t>Purchase of 1 unit Grasscutter</t>
  </si>
  <si>
    <t xml:space="preserve">   Purchase of Aircon</t>
  </si>
  <si>
    <t xml:space="preserve">   Purchase of Burner</t>
  </si>
  <si>
    <t xml:space="preserve">   Purchase of Television</t>
  </si>
  <si>
    <t xml:space="preserve">   Purchase of LCD Projector and Screen</t>
  </si>
  <si>
    <t xml:space="preserve">   Shuttle Van</t>
  </si>
  <si>
    <t>Rehabilitation of Chocolate Hills Kitchen</t>
  </si>
  <si>
    <t>Special Purpose Appropriations (SPAs)</t>
  </si>
  <si>
    <t xml:space="preserve">         Appropriation for Development          Programs/Projects (20%) Development Fund</t>
  </si>
  <si>
    <t xml:space="preserve">         Programs/Projects (5% LDRRM Fund)</t>
  </si>
  <si>
    <t xml:space="preserve">         Appropriations for Debt Services</t>
  </si>
  <si>
    <t xml:space="preserve">         Adavances/Loans to Local Economic Enterprises/Public Utilities</t>
  </si>
  <si>
    <t xml:space="preserve">         Aid to barangays</t>
  </si>
  <si>
    <t xml:space="preserve">         Other Authorized SPAs</t>
  </si>
  <si>
    <t>Total SPA's</t>
  </si>
  <si>
    <t>Total Expenditures</t>
  </si>
  <si>
    <t>We hereby certify that we have reviewed the contents and hereby attest to the veracity and correcyness of the data or information contained in this documents.</t>
  </si>
  <si>
    <t>JEAN JANIOLA-DELA PeῆA</t>
  </si>
  <si>
    <t>Local Budget Officer</t>
  </si>
  <si>
    <t>Local Chief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</si>
</sst>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₱&quot;* #,##0.00_);_(&quot;₱&quot;* \(#,##0.00\);_(&quot;₱&quot;* &quot;-&quot;??_);_(@_)"/>
    <numFmt numFmtId="165" formatCode="0_);\(0\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5.7"/>
      <color theme="1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Arial"/>
      <family val="2"/>
    </font>
    <font>
      <sz val="7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4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1" fillId="0" borderId="8" xfId="0" applyFont="1" applyBorder="1" applyAlignment="1">
      <alignment horizontal="left" vertical="center"/>
    </xf>
    <xf numFmtId="0" fontId="0" fillId="0" borderId="8" xfId="0" applyFont="1" applyBorder="1"/>
    <xf numFmtId="0" fontId="1" fillId="0" borderId="8" xfId="0" applyFont="1" applyBorder="1"/>
    <xf numFmtId="43" fontId="4" fillId="0" borderId="1" xfId="2" applyFont="1" applyBorder="1"/>
    <xf numFmtId="43" fontId="4" fillId="0" borderId="1" xfId="2" applyFont="1" applyFill="1" applyBorder="1" applyAlignment="1">
      <alignment horizontal="center"/>
    </xf>
    <xf numFmtId="0" fontId="1" fillId="0" borderId="7" xfId="0" applyFont="1" applyBorder="1"/>
    <xf numFmtId="43" fontId="1" fillId="0" borderId="7" xfId="1" applyFont="1" applyBorder="1"/>
    <xf numFmtId="43" fontId="4" fillId="0" borderId="1" xfId="2" applyFont="1" applyFill="1" applyBorder="1" applyAlignment="1">
      <alignment vertical="center"/>
    </xf>
    <xf numFmtId="43" fontId="4" fillId="0" borderId="1" xfId="1" applyFont="1" applyBorder="1"/>
    <xf numFmtId="43" fontId="4" fillId="0" borderId="6" xfId="2" applyFont="1" applyFill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/>
    <xf numFmtId="0" fontId="4" fillId="0" borderId="1" xfId="0" applyFont="1" applyBorder="1"/>
    <xf numFmtId="0" fontId="5" fillId="0" borderId="8" xfId="0" applyFont="1" applyBorder="1"/>
    <xf numFmtId="0" fontId="4" fillId="0" borderId="7" xfId="0" applyFont="1" applyBorder="1"/>
    <xf numFmtId="0" fontId="5" fillId="0" borderId="7" xfId="0" applyFont="1" applyBorder="1"/>
    <xf numFmtId="43" fontId="5" fillId="0" borderId="7" xfId="1" applyFont="1" applyBorder="1"/>
    <xf numFmtId="43" fontId="5" fillId="0" borderId="7" xfId="0" applyNumberFormat="1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43" fontId="4" fillId="0" borderId="1" xfId="2" applyFont="1" applyFill="1" applyBorder="1"/>
    <xf numFmtId="0" fontId="5" fillId="0" borderId="7" xfId="0" applyFont="1" applyBorder="1" applyAlignment="1">
      <alignment horizontal="center"/>
    </xf>
    <xf numFmtId="43" fontId="4" fillId="0" borderId="0" xfId="0" applyNumberFormat="1" applyFont="1"/>
    <xf numFmtId="0" fontId="1" fillId="0" borderId="7" xfId="0" applyFont="1" applyFill="1" applyBorder="1"/>
    <xf numFmtId="0" fontId="0" fillId="0" borderId="7" xfId="0" applyFont="1" applyBorder="1"/>
    <xf numFmtId="0" fontId="0" fillId="0" borderId="1" xfId="0" applyFont="1" applyBorder="1" applyAlignment="1">
      <alignment horizontal="center"/>
    </xf>
    <xf numFmtId="0" fontId="1" fillId="0" borderId="10" xfId="0" applyFont="1" applyBorder="1"/>
    <xf numFmtId="43" fontId="0" fillId="0" borderId="1" xfId="2" applyFont="1" applyBorder="1"/>
    <xf numFmtId="0" fontId="0" fillId="0" borderId="6" xfId="0" applyFont="1" applyBorder="1" applyAlignment="1">
      <alignment horizontal="center"/>
    </xf>
    <xf numFmtId="43" fontId="0" fillId="0" borderId="6" xfId="2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4" fillId="0" borderId="6" xfId="2" applyFont="1" applyBorder="1"/>
    <xf numFmtId="43" fontId="0" fillId="0" borderId="6" xfId="2" applyFont="1" applyBorder="1"/>
    <xf numFmtId="43" fontId="4" fillId="0" borderId="1" xfId="2" applyFont="1" applyBorder="1" applyAlignment="1">
      <alignment horizontal="right"/>
    </xf>
    <xf numFmtId="43" fontId="4" fillId="0" borderId="1" xfId="1" applyFont="1" applyBorder="1" applyAlignment="1">
      <alignment horizontal="left" vertical="top"/>
    </xf>
    <xf numFmtId="0" fontId="5" fillId="0" borderId="10" xfId="0" applyFont="1" applyBorder="1"/>
    <xf numFmtId="4" fontId="4" fillId="0" borderId="1" xfId="0" applyNumberFormat="1" applyFont="1" applyBorder="1" applyAlignment="1">
      <alignment horizontal="right" vertical="top"/>
    </xf>
    <xf numFmtId="0" fontId="4" fillId="0" borderId="1" xfId="7" applyFont="1" applyBorder="1" applyAlignment="1">
      <alignment horizontal="center"/>
    </xf>
    <xf numFmtId="4" fontId="4" fillId="0" borderId="1" xfId="2" applyNumberFormat="1" applyFont="1" applyFill="1" applyBorder="1" applyAlignment="1">
      <alignment horizontal="right"/>
    </xf>
    <xf numFmtId="1" fontId="4" fillId="0" borderId="1" xfId="8" applyNumberFormat="1" applyFont="1" applyBorder="1" applyAlignment="1">
      <alignment horizontal="center"/>
    </xf>
    <xf numFmtId="43" fontId="0" fillId="0" borderId="1" xfId="2" applyFont="1" applyFill="1" applyBorder="1" applyAlignment="1">
      <alignment horizontal="center"/>
    </xf>
    <xf numFmtId="0" fontId="0" fillId="0" borderId="8" xfId="0" applyBorder="1"/>
    <xf numFmtId="0" fontId="5" fillId="0" borderId="7" xfId="8" applyFont="1" applyBorder="1"/>
    <xf numFmtId="1" fontId="4" fillId="0" borderId="7" xfId="8" applyNumberFormat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1" fillId="0" borderId="7" xfId="1" applyFont="1" applyBorder="1" applyAlignment="1">
      <alignment horizontal="center" vertical="center"/>
    </xf>
    <xf numFmtId="43" fontId="0" fillId="0" borderId="1" xfId="0" applyNumberFormat="1" applyFont="1" applyBorder="1"/>
    <xf numFmtId="4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43" fontId="4" fillId="0" borderId="1" xfId="0" applyNumberFormat="1" applyFont="1" applyBorder="1"/>
    <xf numFmtId="43" fontId="4" fillId="0" borderId="1" xfId="0" applyNumberFormat="1" applyFont="1" applyBorder="1" applyAlignment="1">
      <alignment horizontal="center" vertical="center"/>
    </xf>
    <xf numFmtId="43" fontId="4" fillId="0" borderId="7" xfId="1" applyFont="1" applyBorder="1"/>
    <xf numFmtId="0" fontId="0" fillId="0" borderId="11" xfId="0" applyFont="1" applyBorder="1"/>
    <xf numFmtId="43" fontId="1" fillId="0" borderId="7" xfId="0" applyNumberFormat="1" applyFont="1" applyBorder="1"/>
    <xf numFmtId="43" fontId="1" fillId="0" borderId="7" xfId="1" applyFont="1" applyFill="1" applyBorder="1"/>
    <xf numFmtId="43" fontId="0" fillId="0" borderId="1" xfId="1" applyFont="1" applyBorder="1"/>
    <xf numFmtId="43" fontId="5" fillId="0" borderId="7" xfId="1" applyFont="1" applyFill="1" applyBorder="1"/>
    <xf numFmtId="0" fontId="4" fillId="0" borderId="8" xfId="8" applyFont="1" applyBorder="1"/>
    <xf numFmtId="43" fontId="0" fillId="0" borderId="6" xfId="1" applyFont="1" applyBorder="1"/>
    <xf numFmtId="43" fontId="0" fillId="0" borderId="1" xfId="1" applyFont="1" applyBorder="1" applyAlignment="1">
      <alignment horizontal="center" vertical="center"/>
    </xf>
    <xf numFmtId="43" fontId="2" fillId="0" borderId="1" xfId="1" applyFont="1" applyBorder="1"/>
    <xf numFmtId="43" fontId="4" fillId="0" borderId="1" xfId="1" applyFont="1" applyBorder="1" applyAlignment="1">
      <alignment horizontal="center" vertical="center"/>
    </xf>
    <xf numFmtId="0" fontId="1" fillId="0" borderId="10" xfId="0" applyFont="1" applyFill="1" applyBorder="1"/>
    <xf numFmtId="43" fontId="0" fillId="0" borderId="0" xfId="1" applyFont="1"/>
    <xf numFmtId="43" fontId="0" fillId="0" borderId="0" xfId="0" applyNumberFormat="1" applyFont="1"/>
    <xf numFmtId="0" fontId="0" fillId="0" borderId="8" xfId="0" applyFont="1" applyFill="1" applyBorder="1"/>
    <xf numFmtId="0" fontId="4" fillId="0" borderId="8" xfId="0" applyFont="1" applyFill="1" applyBorder="1"/>
    <xf numFmtId="0" fontId="0" fillId="0" borderId="8" xfId="0" applyFill="1" applyBorder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3" fontId="0" fillId="0" borderId="0" xfId="1" applyFont="1" applyBorder="1"/>
    <xf numFmtId="0" fontId="0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8" xfId="8" applyFont="1" applyFill="1" applyBorder="1"/>
    <xf numFmtId="43" fontId="2" fillId="0" borderId="1" xfId="1" applyFont="1" applyFill="1" applyBorder="1" applyAlignment="1">
      <alignment horizontal="center" vertical="center"/>
    </xf>
    <xf numFmtId="0" fontId="1" fillId="0" borderId="8" xfId="0" applyFont="1" applyFill="1" applyBorder="1"/>
    <xf numFmtId="0" fontId="0" fillId="0" borderId="1" xfId="0" applyFont="1" applyFill="1" applyBorder="1"/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3" fontId="0" fillId="0" borderId="1" xfId="1" applyFont="1" applyFill="1" applyBorder="1"/>
    <xf numFmtId="0" fontId="4" fillId="0" borderId="8" xfId="0" applyFont="1" applyFill="1" applyBorder="1" applyAlignment="1">
      <alignment vertical="center" wrapText="1"/>
    </xf>
    <xf numFmtId="43" fontId="4" fillId="0" borderId="1" xfId="1" applyFont="1" applyFill="1" applyBorder="1"/>
    <xf numFmtId="43" fontId="0" fillId="0" borderId="1" xfId="0" applyNumberFormat="1" applyFont="1" applyFill="1" applyBorder="1"/>
    <xf numFmtId="0" fontId="0" fillId="0" borderId="1" xfId="0" applyFill="1" applyBorder="1" applyAlignment="1">
      <alignment horizontal="left" wrapText="1" indent="4"/>
    </xf>
    <xf numFmtId="0" fontId="0" fillId="0" borderId="7" xfId="0" applyFont="1" applyFill="1" applyBorder="1"/>
    <xf numFmtId="43" fontId="1" fillId="0" borderId="7" xfId="0" applyNumberFormat="1" applyFont="1" applyFill="1" applyBorder="1"/>
    <xf numFmtId="43" fontId="0" fillId="0" borderId="1" xfId="0" applyNumberFormat="1" applyBorder="1"/>
    <xf numFmtId="0" fontId="4" fillId="0" borderId="0" xfId="0" applyFont="1" applyFill="1"/>
    <xf numFmtId="0" fontId="4" fillId="0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4" fillId="0" borderId="1" xfId="8" applyNumberFormat="1" applyFont="1" applyFill="1" applyBorder="1" applyAlignment="1">
      <alignment horizontal="center"/>
    </xf>
    <xf numFmtId="1" fontId="4" fillId="0" borderId="0" xfId="8" applyNumberFormat="1" applyFont="1" applyFill="1" applyBorder="1" applyAlignment="1">
      <alignment horizontal="center"/>
    </xf>
    <xf numFmtId="0" fontId="4" fillId="0" borderId="0" xfId="8" applyFont="1" applyFill="1"/>
    <xf numFmtId="0" fontId="5" fillId="0" borderId="7" xfId="0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0" fontId="5" fillId="0" borderId="8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43" fontId="4" fillId="0" borderId="1" xfId="0" applyNumberFormat="1" applyFont="1" applyFill="1" applyBorder="1"/>
    <xf numFmtId="43" fontId="0" fillId="0" borderId="0" xfId="0" applyNumberFormat="1" applyFont="1" applyFill="1"/>
    <xf numFmtId="43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43" fontId="0" fillId="0" borderId="0" xfId="1" applyFont="1" applyFill="1"/>
    <xf numFmtId="0" fontId="0" fillId="0" borderId="0" xfId="0" applyFill="1"/>
    <xf numFmtId="43" fontId="1" fillId="0" borderId="0" xfId="1" applyFont="1" applyFill="1" applyBorder="1"/>
    <xf numFmtId="4" fontId="0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43" fontId="0" fillId="0" borderId="0" xfId="0" applyNumberFormat="1" applyFill="1"/>
    <xf numFmtId="0" fontId="0" fillId="0" borderId="0" xfId="0" applyFont="1" applyBorder="1"/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2" fillId="0" borderId="1" xfId="2" applyFont="1" applyBorder="1"/>
    <xf numFmtId="4" fontId="4" fillId="0" borderId="0" xfId="0" applyNumberFormat="1" applyFont="1"/>
    <xf numFmtId="43" fontId="2" fillId="0" borderId="7" xfId="1" applyFont="1" applyBorder="1"/>
    <xf numFmtId="43" fontId="1" fillId="0" borderId="1" xfId="0" applyNumberFormat="1" applyFont="1" applyFill="1" applyBorder="1"/>
    <xf numFmtId="43" fontId="1" fillId="0" borderId="8" xfId="1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6" fillId="0" borderId="8" xfId="0" applyFont="1" applyFill="1" applyBorder="1"/>
    <xf numFmtId="43" fontId="0" fillId="0" borderId="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0" fontId="0" fillId="0" borderId="10" xfId="0" applyFont="1" applyBorder="1"/>
    <xf numFmtId="43" fontId="1" fillId="0" borderId="1" xfId="1" applyFont="1" applyFill="1" applyBorder="1"/>
    <xf numFmtId="0" fontId="1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3" fontId="5" fillId="0" borderId="0" xfId="1" applyFont="1" applyBorder="1"/>
    <xf numFmtId="43" fontId="4" fillId="0" borderId="0" xfId="1" applyFont="1" applyBorder="1"/>
    <xf numFmtId="0" fontId="0" fillId="0" borderId="1" xfId="0" applyBorder="1"/>
    <xf numFmtId="0" fontId="4" fillId="0" borderId="2" xfId="0" applyFont="1" applyBorder="1"/>
    <xf numFmtId="0" fontId="1" fillId="0" borderId="12" xfId="0" applyFont="1" applyBorder="1"/>
    <xf numFmtId="0" fontId="19" fillId="0" borderId="8" xfId="0" applyFont="1" applyBorder="1"/>
    <xf numFmtId="43" fontId="2" fillId="2" borderId="1" xfId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top"/>
    </xf>
    <xf numFmtId="43" fontId="22" fillId="0" borderId="1" xfId="2" applyFont="1" applyBorder="1"/>
    <xf numFmtId="0" fontId="22" fillId="0" borderId="0" xfId="0" applyFont="1"/>
    <xf numFmtId="0" fontId="23" fillId="0" borderId="0" xfId="0" applyFont="1"/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3" fontId="24" fillId="0" borderId="2" xfId="1" applyFont="1" applyBorder="1" applyAlignment="1">
      <alignment horizontal="center" vertical="center"/>
    </xf>
    <xf numFmtId="43" fontId="24" fillId="0" borderId="1" xfId="1" applyFont="1" applyBorder="1" applyAlignment="1">
      <alignment horizontal="center" vertical="center"/>
    </xf>
    <xf numFmtId="43" fontId="22" fillId="0" borderId="1" xfId="1" applyFont="1" applyBorder="1"/>
    <xf numFmtId="43" fontId="24" fillId="0" borderId="7" xfId="1" applyFont="1" applyBorder="1"/>
    <xf numFmtId="43" fontId="22" fillId="0" borderId="6" xfId="1" applyFont="1" applyBorder="1"/>
    <xf numFmtId="43" fontId="22" fillId="0" borderId="1" xfId="1" applyFont="1" applyBorder="1" applyAlignment="1">
      <alignment horizontal="center" vertical="center"/>
    </xf>
    <xf numFmtId="0" fontId="22" fillId="0" borderId="1" xfId="0" applyFont="1" applyBorder="1"/>
    <xf numFmtId="0" fontId="25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43" fontId="22" fillId="0" borderId="1" xfId="1" applyFont="1" applyBorder="1" applyAlignment="1">
      <alignment horizontal="left" vertical="top"/>
    </xf>
    <xf numFmtId="43" fontId="0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0" fillId="0" borderId="20" xfId="1" applyFont="1" applyBorder="1"/>
    <xf numFmtId="0" fontId="0" fillId="0" borderId="20" xfId="0" applyBorder="1"/>
    <xf numFmtId="43" fontId="0" fillId="0" borderId="21" xfId="1" applyFont="1" applyBorder="1"/>
    <xf numFmtId="0" fontId="0" fillId="0" borderId="2" xfId="0" applyBorder="1"/>
    <xf numFmtId="0" fontId="0" fillId="0" borderId="6" xfId="0" applyBorder="1"/>
    <xf numFmtId="0" fontId="0" fillId="0" borderId="21" xfId="0" applyBorder="1"/>
    <xf numFmtId="43" fontId="0" fillId="0" borderId="1" xfId="1" applyFont="1" applyFill="1" applyBorder="1" applyAlignment="1">
      <alignment horizontal="center" vertical="center"/>
    </xf>
    <xf numFmtId="0" fontId="0" fillId="0" borderId="6" xfId="0" applyFont="1" applyFill="1" applyBorder="1"/>
    <xf numFmtId="43" fontId="0" fillId="0" borderId="7" xfId="0" applyNumberFormat="1" applyFont="1" applyFill="1" applyBorder="1"/>
    <xf numFmtId="0" fontId="0" fillId="0" borderId="6" xfId="0" applyFont="1" applyBorder="1"/>
    <xf numFmtId="43" fontId="0" fillId="0" borderId="0" xfId="2" applyFont="1" applyFill="1" applyBorder="1" applyAlignment="1">
      <alignment horizontal="center"/>
    </xf>
    <xf numFmtId="43" fontId="0" fillId="0" borderId="1" xfId="1" applyFont="1" applyFill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0" fillId="0" borderId="7" xfId="0" applyBorder="1"/>
    <xf numFmtId="43" fontId="4" fillId="0" borderId="11" xfId="1" applyFont="1" applyBorder="1"/>
    <xf numFmtId="43" fontId="1" fillId="0" borderId="1" xfId="1" applyFont="1" applyBorder="1"/>
    <xf numFmtId="43" fontId="2" fillId="0" borderId="20" xfId="2" applyFont="1" applyBorder="1"/>
    <xf numFmtId="0" fontId="4" fillId="0" borderId="6" xfId="0" applyFont="1" applyBorder="1"/>
    <xf numFmtId="43" fontId="1" fillId="0" borderId="7" xfId="2" applyFont="1" applyFill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" fontId="4" fillId="0" borderId="1" xfId="2" applyNumberFormat="1" applyFont="1" applyBorder="1"/>
    <xf numFmtId="4" fontId="4" fillId="0" borderId="1" xfId="5" applyNumberFormat="1" applyFont="1" applyBorder="1"/>
    <xf numFmtId="4" fontId="4" fillId="0" borderId="6" xfId="2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43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43" fontId="2" fillId="0" borderId="0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8" xfId="2" applyFont="1" applyFill="1" applyBorder="1" applyAlignment="1">
      <alignment vertical="center"/>
    </xf>
    <xf numFmtId="43" fontId="0" fillId="0" borderId="8" xfId="1" applyFont="1" applyFill="1" applyBorder="1"/>
    <xf numFmtId="43" fontId="0" fillId="0" borderId="20" xfId="0" applyNumberFormat="1" applyFont="1" applyFill="1" applyBorder="1"/>
    <xf numFmtId="0" fontId="4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43" fontId="4" fillId="0" borderId="20" xfId="1" applyFont="1" applyBorder="1"/>
    <xf numFmtId="0" fontId="5" fillId="0" borderId="1" xfId="0" applyFont="1" applyBorder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0" fillId="0" borderId="1" xfId="1" applyFont="1" applyFill="1" applyBorder="1" applyAlignment="1">
      <alignment horizontal="center" vertical="center"/>
    </xf>
    <xf numFmtId="0" fontId="26" fillId="0" borderId="0" xfId="0" applyFont="1"/>
    <xf numFmtId="0" fontId="1" fillId="0" borderId="1" xfId="0" applyFont="1" applyBorder="1" applyAlignment="1">
      <alignment horizontal="left" vertical="center"/>
    </xf>
    <xf numFmtId="0" fontId="4" fillId="0" borderId="1" xfId="8" applyFont="1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" fillId="0" borderId="0" xfId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3" fontId="0" fillId="0" borderId="20" xfId="1" applyFont="1" applyFill="1" applyBorder="1" applyAlignment="1">
      <alignment horizontal="center" vertical="center"/>
    </xf>
    <xf numFmtId="43" fontId="0" fillId="0" borderId="20" xfId="1" applyFont="1" applyFill="1" applyBorder="1" applyAlignment="1">
      <alignment vertical="center"/>
    </xf>
    <xf numFmtId="0" fontId="14" fillId="0" borderId="0" xfId="0" applyFont="1" applyFill="1" applyAlignment="1"/>
    <xf numFmtId="0" fontId="0" fillId="0" borderId="0" xfId="0" applyFont="1" applyFill="1" applyAlignment="1"/>
    <xf numFmtId="0" fontId="4" fillId="0" borderId="1" xfId="0" applyFont="1" applyBorder="1" applyAlignment="1">
      <alignment wrapText="1"/>
    </xf>
    <xf numFmtId="43" fontId="14" fillId="0" borderId="0" xfId="1" applyFont="1"/>
    <xf numFmtId="43" fontId="0" fillId="0" borderId="4" xfId="1" applyFont="1" applyBorder="1"/>
    <xf numFmtId="43" fontId="1" fillId="0" borderId="2" xfId="0" applyNumberFormat="1" applyFont="1" applyBorder="1"/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7" xfId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/>
    <xf numFmtId="43" fontId="2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Border="1"/>
    <xf numFmtId="43" fontId="0" fillId="0" borderId="20" xfId="0" applyNumberFormat="1" applyBorder="1"/>
    <xf numFmtId="43" fontId="0" fillId="0" borderId="19" xfId="0" applyNumberFormat="1" applyBorder="1"/>
    <xf numFmtId="43" fontId="0" fillId="0" borderId="14" xfId="0" applyNumberFormat="1" applyBorder="1"/>
    <xf numFmtId="4" fontId="0" fillId="0" borderId="0" xfId="0" applyNumberFormat="1" applyAlignment="1">
      <alignment horizontal="center" vertical="center"/>
    </xf>
    <xf numFmtId="43" fontId="0" fillId="0" borderId="13" xfId="0" applyNumberFormat="1" applyBorder="1"/>
    <xf numFmtId="0" fontId="1" fillId="0" borderId="13" xfId="0" applyFont="1" applyBorder="1" applyAlignment="1">
      <alignment horizontal="center" vertical="center" wrapText="1"/>
    </xf>
    <xf numFmtId="43" fontId="1" fillId="0" borderId="14" xfId="1" applyFont="1" applyBorder="1" applyAlignment="1">
      <alignment horizontal="center" vertical="center"/>
    </xf>
    <xf numFmtId="43" fontId="1" fillId="0" borderId="18" xfId="1" applyFont="1" applyBorder="1" applyAlignment="1">
      <alignment horizontal="center" vertical="center"/>
    </xf>
    <xf numFmtId="0" fontId="0" fillId="0" borderId="14" xfId="0" applyBorder="1"/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3" fontId="1" fillId="0" borderId="16" xfId="1" applyFont="1" applyBorder="1" applyAlignment="1">
      <alignment horizontal="center" vertical="center"/>
    </xf>
    <xf numFmtId="43" fontId="2" fillId="0" borderId="16" xfId="1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3" fontId="0" fillId="0" borderId="13" xfId="0" applyNumberFormat="1" applyBorder="1" applyAlignment="1">
      <alignment vertical="center"/>
    </xf>
    <xf numFmtId="43" fontId="0" fillId="0" borderId="13" xfId="0" applyNumberFormat="1" applyBorder="1" applyAlignment="1">
      <alignment horizontal="center" vertical="center"/>
    </xf>
    <xf numFmtId="43" fontId="1" fillId="0" borderId="15" xfId="1" applyFont="1" applyBorder="1" applyAlignment="1">
      <alignment horizontal="center" vertical="center"/>
    </xf>
    <xf numFmtId="43" fontId="1" fillId="0" borderId="22" xfId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3" applyFont="1"/>
    <xf numFmtId="0" fontId="1" fillId="0" borderId="0" xfId="0" applyFont="1" applyAlignment="1"/>
    <xf numFmtId="0" fontId="1" fillId="0" borderId="0" xfId="0" applyFont="1" applyFill="1" applyAlignment="1"/>
    <xf numFmtId="0" fontId="12" fillId="0" borderId="0" xfId="3" applyFont="1" applyFill="1"/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43" fontId="1" fillId="0" borderId="15" xfId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43" fontId="2" fillId="0" borderId="13" xfId="1" applyFont="1" applyFill="1" applyBorder="1" applyAlignment="1">
      <alignment horizontal="center" vertical="center"/>
    </xf>
    <xf numFmtId="43" fontId="1" fillId="0" borderId="13" xfId="1" applyFont="1" applyFill="1" applyBorder="1" applyAlignment="1">
      <alignment horizontal="center" vertical="center"/>
    </xf>
    <xf numFmtId="43" fontId="4" fillId="0" borderId="13" xfId="1" applyFont="1" applyFill="1" applyBorder="1"/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43" fontId="2" fillId="0" borderId="17" xfId="1" applyFont="1" applyFill="1" applyBorder="1" applyAlignment="1">
      <alignment horizontal="center" vertical="center"/>
    </xf>
    <xf numFmtId="43" fontId="0" fillId="0" borderId="17" xfId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43" fontId="2" fillId="0" borderId="6" xfId="1" applyFont="1" applyFill="1" applyBorder="1" applyAlignment="1">
      <alignment horizontal="center" vertical="center"/>
    </xf>
    <xf numFmtId="43" fontId="0" fillId="0" borderId="6" xfId="1" applyFont="1" applyFill="1" applyBorder="1"/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43" fontId="1" fillId="0" borderId="7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3" fontId="1" fillId="0" borderId="14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43" fontId="2" fillId="0" borderId="14" xfId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/>
    <xf numFmtId="43" fontId="0" fillId="0" borderId="13" xfId="1" applyFont="1" applyFill="1" applyBorder="1"/>
    <xf numFmtId="43" fontId="14" fillId="0" borderId="0" xfId="1" applyFont="1" applyFill="1"/>
    <xf numFmtId="0" fontId="0" fillId="0" borderId="13" xfId="0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/>
    </xf>
    <xf numFmtId="43" fontId="4" fillId="0" borderId="14" xfId="1" applyFont="1" applyFill="1" applyBorder="1"/>
    <xf numFmtId="43" fontId="5" fillId="0" borderId="13" xfId="1" applyFont="1" applyFill="1" applyBorder="1"/>
    <xf numFmtId="0" fontId="1" fillId="0" borderId="13" xfId="0" applyFont="1" applyFill="1" applyBorder="1" applyAlignment="1">
      <alignment wrapText="1"/>
    </xf>
    <xf numFmtId="43" fontId="1" fillId="0" borderId="1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0" fontId="0" fillId="0" borderId="1" xfId="0" applyFill="1" applyBorder="1"/>
    <xf numFmtId="43" fontId="4" fillId="0" borderId="15" xfId="1" applyFont="1" applyFill="1" applyBorder="1"/>
    <xf numFmtId="43" fontId="4" fillId="0" borderId="16" xfId="1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6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43" fontId="2" fillId="0" borderId="2" xfId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43" fontId="0" fillId="0" borderId="7" xfId="1" applyFont="1" applyFill="1" applyBorder="1"/>
    <xf numFmtId="0" fontId="0" fillId="0" borderId="1" xfId="0" applyFill="1" applyBorder="1" applyAlignment="1">
      <alignment wrapText="1"/>
    </xf>
    <xf numFmtId="0" fontId="24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43" fontId="5" fillId="0" borderId="1" xfId="1" applyFont="1" applyFill="1" applyBorder="1"/>
    <xf numFmtId="43" fontId="1" fillId="0" borderId="11" xfId="1" applyFont="1" applyFill="1" applyBorder="1"/>
    <xf numFmtId="43" fontId="1" fillId="0" borderId="6" xfId="1" applyFont="1" applyFill="1" applyBorder="1"/>
    <xf numFmtId="0" fontId="1" fillId="0" borderId="6" xfId="0" applyFont="1" applyFill="1" applyBorder="1"/>
    <xf numFmtId="43" fontId="0" fillId="0" borderId="7" xfId="1" applyFont="1" applyFill="1" applyBorder="1" applyAlignment="1">
      <alignment horizontal="center" vertical="center"/>
    </xf>
    <xf numFmtId="43" fontId="1" fillId="0" borderId="11" xfId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3" fontId="5" fillId="0" borderId="21" xfId="1" applyFont="1" applyFill="1" applyBorder="1"/>
    <xf numFmtId="43" fontId="2" fillId="0" borderId="21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0" fontId="0" fillId="0" borderId="20" xfId="0" applyFill="1" applyBorder="1" applyAlignment="1">
      <alignment wrapText="1"/>
    </xf>
    <xf numFmtId="43" fontId="4" fillId="0" borderId="6" xfId="1" applyFont="1" applyFill="1" applyBorder="1"/>
    <xf numFmtId="43" fontId="0" fillId="0" borderId="1" xfId="1" applyFont="1" applyFill="1" applyBorder="1" applyAlignment="1">
      <alignment wrapText="1"/>
    </xf>
    <xf numFmtId="43" fontId="1" fillId="0" borderId="11" xfId="0" applyNumberFormat="1" applyFont="1" applyBorder="1"/>
    <xf numFmtId="0" fontId="0" fillId="0" borderId="11" xfId="0" applyBorder="1"/>
    <xf numFmtId="43" fontId="0" fillId="0" borderId="6" xfId="1" applyFont="1" applyBorder="1" applyAlignment="1">
      <alignment horizontal="center"/>
    </xf>
    <xf numFmtId="0" fontId="0" fillId="0" borderId="6" xfId="0" applyFill="1" applyBorder="1"/>
    <xf numFmtId="43" fontId="0" fillId="0" borderId="1" xfId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/>
    <xf numFmtId="0" fontId="0" fillId="0" borderId="23" xfId="0" applyBorder="1"/>
    <xf numFmtId="0" fontId="15" fillId="0" borderId="23" xfId="0" applyFont="1" applyBorder="1"/>
    <xf numFmtId="0" fontId="1" fillId="0" borderId="1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Fill="1"/>
    <xf numFmtId="0" fontId="6" fillId="0" borderId="0" xfId="0" applyFont="1" applyFill="1"/>
    <xf numFmtId="43" fontId="5" fillId="0" borderId="7" xfId="2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1" fillId="0" borderId="7" xfId="0" applyNumberFormat="1" applyFont="1" applyBorder="1" applyAlignment="1"/>
    <xf numFmtId="0" fontId="4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43" fontId="0" fillId="0" borderId="1" xfId="1" applyFont="1" applyBorder="1" applyAlignment="1"/>
    <xf numFmtId="0" fontId="27" fillId="0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8" applyFont="1" applyFill="1" applyBorder="1"/>
    <xf numFmtId="0" fontId="4" fillId="0" borderId="1" xfId="8" applyFont="1" applyFill="1" applyBorder="1"/>
    <xf numFmtId="0" fontId="16" fillId="0" borderId="1" xfId="0" applyFont="1" applyFill="1" applyBorder="1"/>
    <xf numFmtId="0" fontId="6" fillId="0" borderId="0" xfId="0" applyFont="1" applyFill="1" applyAlignment="1"/>
    <xf numFmtId="43" fontId="5" fillId="0" borderId="7" xfId="1" applyFont="1" applyFill="1" applyBorder="1" applyAlignment="1">
      <alignment vertical="center"/>
    </xf>
    <xf numFmtId="43" fontId="1" fillId="0" borderId="7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wrapText="1"/>
    </xf>
    <xf numFmtId="43" fontId="4" fillId="0" borderId="7" xfId="1" applyFont="1" applyFill="1" applyBorder="1" applyAlignment="1">
      <alignment vertical="center"/>
    </xf>
    <xf numFmtId="43" fontId="0" fillId="0" borderId="7" xfId="1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43" fontId="0" fillId="0" borderId="6" xfId="1" applyFont="1" applyFill="1" applyBorder="1" applyAlignment="1">
      <alignment vertical="center"/>
    </xf>
    <xf numFmtId="43" fontId="0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43" fontId="4" fillId="0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3" fontId="4" fillId="0" borderId="6" xfId="1" applyFont="1" applyFill="1" applyBorder="1" applyAlignment="1">
      <alignment vertical="center"/>
    </xf>
    <xf numFmtId="43" fontId="0" fillId="0" borderId="6" xfId="0" applyNumberFormat="1" applyFont="1" applyFill="1" applyBorder="1"/>
    <xf numFmtId="0" fontId="4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43" fontId="0" fillId="0" borderId="6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43" fontId="0" fillId="0" borderId="2" xfId="1" applyFont="1" applyFill="1" applyBorder="1" applyAlignment="1">
      <alignment horizontal="center" vertical="center"/>
    </xf>
    <xf numFmtId="43" fontId="0" fillId="0" borderId="2" xfId="1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center"/>
    </xf>
    <xf numFmtId="43" fontId="4" fillId="0" borderId="0" xfId="2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left" vertical="top"/>
    </xf>
    <xf numFmtId="0" fontId="0" fillId="0" borderId="0" xfId="0" applyFont="1" applyFill="1" applyBorder="1" applyAlignment="1"/>
    <xf numFmtId="43" fontId="0" fillId="0" borderId="1" xfId="1" applyFont="1" applyFill="1" applyBorder="1" applyAlignment="1"/>
    <xf numFmtId="0" fontId="4" fillId="0" borderId="11" xfId="0" applyFont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0" fontId="4" fillId="0" borderId="1" xfId="8" applyFont="1" applyFill="1" applyBorder="1" applyAlignment="1">
      <alignment horizontal="left" wrapText="1"/>
    </xf>
    <xf numFmtId="0" fontId="5" fillId="0" borderId="1" xfId="8" applyFont="1" applyFill="1" applyBorder="1" applyAlignment="1">
      <alignment vertical="center"/>
    </xf>
    <xf numFmtId="43" fontId="2" fillId="2" borderId="7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7" xfId="8" applyFont="1" applyFill="1" applyBorder="1"/>
    <xf numFmtId="0" fontId="0" fillId="0" borderId="6" xfId="0" applyFont="1" applyFill="1" applyBorder="1" applyAlignment="1">
      <alignment horizontal="center" vertical="center"/>
    </xf>
    <xf numFmtId="0" fontId="4" fillId="0" borderId="6" xfId="8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1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20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/>
    <xf numFmtId="0" fontId="4" fillId="0" borderId="13" xfId="0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0" fontId="4" fillId="0" borderId="19" xfId="0" applyFont="1" applyFill="1" applyBorder="1"/>
    <xf numFmtId="0" fontId="0" fillId="0" borderId="0" xfId="0" applyBorder="1"/>
    <xf numFmtId="0" fontId="4" fillId="0" borderId="0" xfId="8" applyFont="1" applyBorder="1"/>
    <xf numFmtId="4" fontId="4" fillId="0" borderId="0" xfId="0" applyNumberFormat="1" applyFont="1" applyFill="1"/>
    <xf numFmtId="0" fontId="5" fillId="0" borderId="11" xfId="0" applyFont="1" applyFill="1" applyBorder="1"/>
    <xf numFmtId="43" fontId="5" fillId="0" borderId="7" xfId="1" applyFont="1" applyFill="1" applyBorder="1" applyAlignment="1">
      <alignment horizontal="center"/>
    </xf>
    <xf numFmtId="0" fontId="5" fillId="0" borderId="20" xfId="0" applyFont="1" applyFill="1" applyBorder="1"/>
    <xf numFmtId="4" fontId="4" fillId="0" borderId="15" xfId="0" applyNumberFormat="1" applyFont="1" applyFill="1" applyBorder="1" applyAlignment="1">
      <alignment horizontal="center"/>
    </xf>
    <xf numFmtId="0" fontId="16" fillId="0" borderId="0" xfId="0" applyFont="1" applyBorder="1"/>
    <xf numFmtId="0" fontId="29" fillId="0" borderId="0" xfId="0" applyFont="1" applyFill="1" applyBorder="1" applyAlignment="1">
      <alignment wrapText="1"/>
    </xf>
    <xf numFmtId="0" fontId="29" fillId="0" borderId="24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3" xfId="7" applyFont="1" applyFill="1" applyBorder="1" applyAlignment="1">
      <alignment horizontal="center"/>
    </xf>
    <xf numFmtId="0" fontId="30" fillId="0" borderId="0" xfId="0" applyFont="1" applyBorder="1"/>
    <xf numFmtId="0" fontId="19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3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3" xfId="3" applyFont="1" applyFill="1" applyBorder="1" applyAlignment="1">
      <alignment horizontal="center"/>
    </xf>
    <xf numFmtId="0" fontId="16" fillId="0" borderId="0" xfId="0" applyFont="1" applyFill="1" applyBorder="1"/>
    <xf numFmtId="0" fontId="31" fillId="0" borderId="0" xfId="0" applyFont="1" applyFill="1" applyBorder="1"/>
    <xf numFmtId="0" fontId="4" fillId="0" borderId="0" xfId="8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3" applyFill="1" applyBorder="1" applyAlignment="1">
      <alignment horizontal="center"/>
    </xf>
    <xf numFmtId="43" fontId="4" fillId="0" borderId="16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5" fillId="0" borderId="22" xfId="0" applyFont="1" applyFill="1" applyBorder="1"/>
    <xf numFmtId="0" fontId="4" fillId="0" borderId="15" xfId="0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3" fontId="4" fillId="0" borderId="14" xfId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 indent="4"/>
    </xf>
    <xf numFmtId="0" fontId="0" fillId="0" borderId="20" xfId="0" applyFill="1" applyBorder="1" applyAlignment="1">
      <alignment horizontal="left" wrapText="1" indent="4"/>
    </xf>
    <xf numFmtId="0" fontId="0" fillId="0" borderId="19" xfId="0" applyFill="1" applyBorder="1" applyAlignment="1">
      <alignment horizontal="left" wrapText="1" indent="4"/>
    </xf>
    <xf numFmtId="0" fontId="0" fillId="0" borderId="13" xfId="0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4" fillId="0" borderId="0" xfId="9" applyFont="1" applyFill="1" applyBorder="1" applyAlignment="1">
      <alignment horizontal="left" indent="3"/>
    </xf>
    <xf numFmtId="0" fontId="4" fillId="0" borderId="19" xfId="9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 indent="3"/>
    </xf>
    <xf numFmtId="0" fontId="4" fillId="0" borderId="19" xfId="0" applyFont="1" applyFill="1" applyBorder="1" applyAlignment="1">
      <alignment horizontal="left" indent="3"/>
    </xf>
    <xf numFmtId="0" fontId="2" fillId="0" borderId="1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3" fontId="4" fillId="0" borderId="17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43" fontId="0" fillId="0" borderId="20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3" fontId="4" fillId="0" borderId="1" xfId="1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43" fontId="4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43" fontId="1" fillId="0" borderId="16" xfId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43" fontId="1" fillId="0" borderId="14" xfId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3" fontId="0" fillId="0" borderId="1" xfId="0" applyNumberFormat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0" fillId="0" borderId="6" xfId="0" applyNumberFormat="1" applyFont="1" applyFill="1" applyBorder="1" applyAlignment="1">
      <alignment horizontal="center" vertical="center" wrapText="1"/>
    </xf>
    <xf numFmtId="43" fontId="0" fillId="0" borderId="2" xfId="0" applyNumberFormat="1" applyFont="1" applyFill="1" applyBorder="1" applyAlignment="1">
      <alignment horizontal="center" vertical="center" wrapText="1"/>
    </xf>
    <xf numFmtId="43" fontId="0" fillId="0" borderId="6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</cellXfs>
  <cellStyles count="36">
    <cellStyle name="Comma" xfId="1" builtinId="3"/>
    <cellStyle name="Comma [0] 2" xfId="11"/>
    <cellStyle name="Comma 10" xfId="5"/>
    <cellStyle name="Comma 11" xfId="12"/>
    <cellStyle name="Comma 12" xfId="13"/>
    <cellStyle name="Comma 13" xfId="14"/>
    <cellStyle name="Comma 14" xfId="15"/>
    <cellStyle name="Comma 15" xfId="2"/>
    <cellStyle name="Comma 15 2" xfId="6"/>
    <cellStyle name="Comma 16" xfId="16"/>
    <cellStyle name="Comma 17" xfId="17"/>
    <cellStyle name="Comma 2" xfId="18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30"/>
    <cellStyle name="Normal 15" xfId="3"/>
    <cellStyle name="Normal 15 2" xfId="4"/>
    <cellStyle name="Normal 16" xfId="31"/>
    <cellStyle name="Normal 2" xfId="8"/>
    <cellStyle name="Normal 3" xfId="9"/>
    <cellStyle name="Normal 4" xfId="10"/>
    <cellStyle name="Normal 5" xfId="32"/>
    <cellStyle name="Normal 6" xfId="33"/>
    <cellStyle name="Normal 7" xfId="7"/>
    <cellStyle name="Normal 8" xfId="34"/>
    <cellStyle name="Normal 9" xfId="35"/>
  </cellStyles>
  <dxfs count="82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218</xdr:row>
      <xdr:rowOff>0</xdr:rowOff>
    </xdr:from>
    <xdr:to>
      <xdr:col>6</xdr:col>
      <xdr:colOff>1106126</xdr:colOff>
      <xdr:row>220</xdr:row>
      <xdr:rowOff>29401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446627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1171575</xdr:colOff>
      <xdr:row>218</xdr:row>
      <xdr:rowOff>114300</xdr:rowOff>
    </xdr:from>
    <xdr:to>
      <xdr:col>0</xdr:col>
      <xdr:colOff>1586139</xdr:colOff>
      <xdr:row>222</xdr:row>
      <xdr:rowOff>18756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575" y="44786550"/>
          <a:ext cx="414564" cy="9998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60</xdr:row>
      <xdr:rowOff>152400</xdr:rowOff>
    </xdr:from>
    <xdr:to>
      <xdr:col>5</xdr:col>
      <xdr:colOff>848951</xdr:colOff>
      <xdr:row>62</xdr:row>
      <xdr:rowOff>153226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121348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60</xdr:row>
      <xdr:rowOff>295275</xdr:rowOff>
    </xdr:from>
    <xdr:to>
      <xdr:col>2</xdr:col>
      <xdr:colOff>413292</xdr:colOff>
      <xdr:row>63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4300" y="12277725"/>
          <a:ext cx="375192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60</xdr:row>
      <xdr:rowOff>200025</xdr:rowOff>
    </xdr:from>
    <xdr:to>
      <xdr:col>0</xdr:col>
      <xdr:colOff>1234927</xdr:colOff>
      <xdr:row>62</xdr:row>
      <xdr:rowOff>231334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12182475"/>
          <a:ext cx="1225402" cy="7742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55</xdr:row>
      <xdr:rowOff>133350</xdr:rowOff>
    </xdr:from>
    <xdr:to>
      <xdr:col>5</xdr:col>
      <xdr:colOff>925151</xdr:colOff>
      <xdr:row>57</xdr:row>
      <xdr:rowOff>124651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104775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55</xdr:row>
      <xdr:rowOff>247650</xdr:rowOff>
    </xdr:from>
    <xdr:to>
      <xdr:col>2</xdr:col>
      <xdr:colOff>373566</xdr:colOff>
      <xdr:row>58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10591800"/>
          <a:ext cx="383091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142875</xdr:rowOff>
    </xdr:from>
    <xdr:to>
      <xdr:col>0</xdr:col>
      <xdr:colOff>1604402</xdr:colOff>
      <xdr:row>57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487025"/>
          <a:ext cx="1604402" cy="790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47625</xdr:rowOff>
    </xdr:from>
    <xdr:to>
      <xdr:col>0</xdr:col>
      <xdr:colOff>1932599</xdr:colOff>
      <xdr:row>64</xdr:row>
      <xdr:rowOff>87312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144375"/>
          <a:ext cx="1932599" cy="72548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62</xdr:row>
      <xdr:rowOff>76200</xdr:rowOff>
    </xdr:from>
    <xdr:to>
      <xdr:col>6</xdr:col>
      <xdr:colOff>10751</xdr:colOff>
      <xdr:row>64</xdr:row>
      <xdr:rowOff>134176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81775" y="121729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62</xdr:row>
      <xdr:rowOff>171451</xdr:rowOff>
    </xdr:from>
    <xdr:to>
      <xdr:col>2</xdr:col>
      <xdr:colOff>428625</xdr:colOff>
      <xdr:row>65</xdr:row>
      <xdr:rowOff>68917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76675" y="12268201"/>
          <a:ext cx="352425" cy="84996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59</xdr:row>
      <xdr:rowOff>161925</xdr:rowOff>
    </xdr:from>
    <xdr:to>
      <xdr:col>6</xdr:col>
      <xdr:colOff>39326</xdr:colOff>
      <xdr:row>61</xdr:row>
      <xdr:rowOff>124651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115157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59</xdr:row>
      <xdr:rowOff>285750</xdr:rowOff>
    </xdr:from>
    <xdr:to>
      <xdr:col>2</xdr:col>
      <xdr:colOff>364041</xdr:colOff>
      <xdr:row>62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3800" y="11639550"/>
          <a:ext cx="383091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59</xdr:row>
      <xdr:rowOff>123825</xdr:rowOff>
    </xdr:from>
    <xdr:to>
      <xdr:col>0</xdr:col>
      <xdr:colOff>1497065</xdr:colOff>
      <xdr:row>61</xdr:row>
      <xdr:rowOff>129227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11477625"/>
          <a:ext cx="1335140" cy="7864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55</xdr:row>
      <xdr:rowOff>66675</xdr:rowOff>
    </xdr:from>
    <xdr:to>
      <xdr:col>5</xdr:col>
      <xdr:colOff>572726</xdr:colOff>
      <xdr:row>57</xdr:row>
      <xdr:rowOff>200851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1069657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55</xdr:row>
      <xdr:rowOff>171450</xdr:rowOff>
    </xdr:from>
    <xdr:to>
      <xdr:col>2</xdr:col>
      <xdr:colOff>321294</xdr:colOff>
      <xdr:row>58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8100" y="10801350"/>
          <a:ext cx="359394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55</xdr:row>
      <xdr:rowOff>142875</xdr:rowOff>
    </xdr:from>
    <xdr:to>
      <xdr:col>0</xdr:col>
      <xdr:colOff>1717313</xdr:colOff>
      <xdr:row>56</xdr:row>
      <xdr:rowOff>257215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0772775"/>
          <a:ext cx="1688738" cy="4572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58</xdr:row>
      <xdr:rowOff>95250</xdr:rowOff>
    </xdr:from>
    <xdr:to>
      <xdr:col>5</xdr:col>
      <xdr:colOff>925151</xdr:colOff>
      <xdr:row>60</xdr:row>
      <xdr:rowOff>153226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13728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58</xdr:row>
      <xdr:rowOff>209550</xdr:rowOff>
    </xdr:from>
    <xdr:to>
      <xdr:col>2</xdr:col>
      <xdr:colOff>307123</xdr:colOff>
      <xdr:row>61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3325" y="11487150"/>
          <a:ext cx="335698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180975</xdr:rowOff>
    </xdr:from>
    <xdr:to>
      <xdr:col>0</xdr:col>
      <xdr:colOff>1349829</xdr:colOff>
      <xdr:row>60</xdr:row>
      <xdr:rowOff>219075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58575"/>
          <a:ext cx="1349829" cy="723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52</xdr:row>
      <xdr:rowOff>95250</xdr:rowOff>
    </xdr:from>
    <xdr:to>
      <xdr:col>5</xdr:col>
      <xdr:colOff>925151</xdr:colOff>
      <xdr:row>54</xdr:row>
      <xdr:rowOff>153226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01536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52</xdr:row>
      <xdr:rowOff>209551</xdr:rowOff>
    </xdr:from>
    <xdr:to>
      <xdr:col>2</xdr:col>
      <xdr:colOff>410969</xdr:colOff>
      <xdr:row>55</xdr:row>
      <xdr:rowOff>133351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10267951"/>
          <a:ext cx="36334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52</xdr:row>
      <xdr:rowOff>200025</xdr:rowOff>
    </xdr:from>
    <xdr:to>
      <xdr:col>0</xdr:col>
      <xdr:colOff>1257301</xdr:colOff>
      <xdr:row>55</xdr:row>
      <xdr:rowOff>181216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0258425"/>
          <a:ext cx="1257300" cy="93369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53</xdr:row>
      <xdr:rowOff>200025</xdr:rowOff>
    </xdr:from>
    <xdr:to>
      <xdr:col>5</xdr:col>
      <xdr:colOff>848951</xdr:colOff>
      <xdr:row>55</xdr:row>
      <xdr:rowOff>258001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104394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53</xdr:row>
      <xdr:rowOff>314326</xdr:rowOff>
    </xdr:from>
    <xdr:to>
      <xdr:col>2</xdr:col>
      <xdr:colOff>333375</xdr:colOff>
      <xdr:row>56</xdr:row>
      <xdr:rowOff>142876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1425" y="10553701"/>
          <a:ext cx="3238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53</xdr:row>
      <xdr:rowOff>142875</xdr:rowOff>
    </xdr:from>
    <xdr:to>
      <xdr:col>0</xdr:col>
      <xdr:colOff>1240156</xdr:colOff>
      <xdr:row>55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10382250"/>
          <a:ext cx="963931" cy="6572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58</xdr:row>
      <xdr:rowOff>171450</xdr:rowOff>
    </xdr:from>
    <xdr:to>
      <xdr:col>5</xdr:col>
      <xdr:colOff>887051</xdr:colOff>
      <xdr:row>60</xdr:row>
      <xdr:rowOff>229426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113538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58</xdr:row>
      <xdr:rowOff>228601</xdr:rowOff>
    </xdr:from>
    <xdr:to>
      <xdr:col>2</xdr:col>
      <xdr:colOff>419100</xdr:colOff>
      <xdr:row>61</xdr:row>
      <xdr:rowOff>57151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7150" y="11410951"/>
          <a:ext cx="3238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228600</xdr:rowOff>
    </xdr:from>
    <xdr:to>
      <xdr:col>0</xdr:col>
      <xdr:colOff>1225402</xdr:colOff>
      <xdr:row>61</xdr:row>
      <xdr:rowOff>50359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10950"/>
          <a:ext cx="1225402" cy="77425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59</xdr:row>
      <xdr:rowOff>142875</xdr:rowOff>
    </xdr:from>
    <xdr:to>
      <xdr:col>5</xdr:col>
      <xdr:colOff>925151</xdr:colOff>
      <xdr:row>61</xdr:row>
      <xdr:rowOff>200851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15252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171451</xdr:rowOff>
    </xdr:from>
    <xdr:to>
      <xdr:col>2</xdr:col>
      <xdr:colOff>371475</xdr:colOff>
      <xdr:row>62</xdr:row>
      <xdr:rowOff>114861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11553826"/>
          <a:ext cx="371475" cy="8959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59</xdr:row>
      <xdr:rowOff>200026</xdr:rowOff>
    </xdr:from>
    <xdr:to>
      <xdr:col>0</xdr:col>
      <xdr:colOff>1019175</xdr:colOff>
      <xdr:row>62</xdr:row>
      <xdr:rowOff>97492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11582401"/>
          <a:ext cx="352425" cy="849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66</xdr:row>
      <xdr:rowOff>184668</xdr:rowOff>
    </xdr:from>
    <xdr:to>
      <xdr:col>5</xdr:col>
      <xdr:colOff>399527</xdr:colOff>
      <xdr:row>69</xdr:row>
      <xdr:rowOff>112015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2934" y="1427778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340178</xdr:colOff>
      <xdr:row>66</xdr:row>
      <xdr:rowOff>194388</xdr:rowOff>
    </xdr:from>
    <xdr:to>
      <xdr:col>0</xdr:col>
      <xdr:colOff>1303429</xdr:colOff>
      <xdr:row>69</xdr:row>
      <xdr:rowOff>121735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78" y="142875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349898</xdr:colOff>
      <xdr:row>67</xdr:row>
      <xdr:rowOff>126352</xdr:rowOff>
    </xdr:from>
    <xdr:to>
      <xdr:col>2</xdr:col>
      <xdr:colOff>764462</xdr:colOff>
      <xdr:row>70</xdr:row>
      <xdr:rowOff>261158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4949" y="14433291"/>
          <a:ext cx="414564" cy="99983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52</xdr:row>
      <xdr:rowOff>57150</xdr:rowOff>
    </xdr:from>
    <xdr:to>
      <xdr:col>6</xdr:col>
      <xdr:colOff>915626</xdr:colOff>
      <xdr:row>55</xdr:row>
      <xdr:rowOff>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151447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375192</xdr:colOff>
      <xdr:row>55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8050" y="15087600"/>
          <a:ext cx="375192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52</xdr:row>
      <xdr:rowOff>19050</xdr:rowOff>
    </xdr:from>
    <xdr:to>
      <xdr:col>2</xdr:col>
      <xdr:colOff>150183</xdr:colOff>
      <xdr:row>54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1" y="15106650"/>
          <a:ext cx="1331282" cy="5810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40</xdr:row>
      <xdr:rowOff>295275</xdr:rowOff>
    </xdr:from>
    <xdr:to>
      <xdr:col>6</xdr:col>
      <xdr:colOff>829901</xdr:colOff>
      <xdr:row>42</xdr:row>
      <xdr:rowOff>248476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07061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2571750</xdr:colOff>
      <xdr:row>40</xdr:row>
      <xdr:rowOff>180976</xdr:rowOff>
    </xdr:from>
    <xdr:to>
      <xdr:col>3</xdr:col>
      <xdr:colOff>180743</xdr:colOff>
      <xdr:row>43</xdr:row>
      <xdr:rowOff>19051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4775" y="10591801"/>
          <a:ext cx="371243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40</xdr:row>
      <xdr:rowOff>257175</xdr:rowOff>
    </xdr:from>
    <xdr:to>
      <xdr:col>1</xdr:col>
      <xdr:colOff>504825</xdr:colOff>
      <xdr:row>42</xdr:row>
      <xdr:rowOff>200457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0668000"/>
          <a:ext cx="1076325" cy="73385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26</xdr:row>
      <xdr:rowOff>9525</xdr:rowOff>
    </xdr:from>
    <xdr:to>
      <xdr:col>7</xdr:col>
      <xdr:colOff>29801</xdr:colOff>
      <xdr:row>28</xdr:row>
      <xdr:rowOff>219901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66008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2209800</xdr:colOff>
      <xdr:row>26</xdr:row>
      <xdr:rowOff>66675</xdr:rowOff>
    </xdr:from>
    <xdr:to>
      <xdr:col>2</xdr:col>
      <xdr:colOff>2561296</xdr:colOff>
      <xdr:row>29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3300" y="6657975"/>
          <a:ext cx="351496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26</xdr:row>
      <xdr:rowOff>219075</xdr:rowOff>
    </xdr:from>
    <xdr:to>
      <xdr:col>1</xdr:col>
      <xdr:colOff>609600</xdr:colOff>
      <xdr:row>29</xdr:row>
      <xdr:rowOff>46832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6810375"/>
          <a:ext cx="1076325" cy="62785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55</xdr:row>
      <xdr:rowOff>171450</xdr:rowOff>
    </xdr:from>
    <xdr:to>
      <xdr:col>6</xdr:col>
      <xdr:colOff>477476</xdr:colOff>
      <xdr:row>58</xdr:row>
      <xdr:rowOff>115126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120205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2619375</xdr:colOff>
      <xdr:row>56</xdr:row>
      <xdr:rowOff>1</xdr:rowOff>
    </xdr:from>
    <xdr:to>
      <xdr:col>3</xdr:col>
      <xdr:colOff>111048</xdr:colOff>
      <xdr:row>59</xdr:row>
      <xdr:rowOff>19051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7625" y="12115801"/>
          <a:ext cx="339648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56</xdr:row>
      <xdr:rowOff>57151</xdr:rowOff>
    </xdr:from>
    <xdr:to>
      <xdr:col>2</xdr:col>
      <xdr:colOff>19050</xdr:colOff>
      <xdr:row>58</xdr:row>
      <xdr:rowOff>18445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6" y="12172951"/>
          <a:ext cx="1133474" cy="49469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31</xdr:row>
      <xdr:rowOff>247650</xdr:rowOff>
    </xdr:from>
    <xdr:to>
      <xdr:col>6</xdr:col>
      <xdr:colOff>620351</xdr:colOff>
      <xdr:row>34</xdr:row>
      <xdr:rowOff>191326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73342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2066925</xdr:colOff>
      <xdr:row>32</xdr:row>
      <xdr:rowOff>95251</xdr:rowOff>
    </xdr:from>
    <xdr:to>
      <xdr:col>2</xdr:col>
      <xdr:colOff>2422370</xdr:colOff>
      <xdr:row>35</xdr:row>
      <xdr:rowOff>152401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8525" y="7448551"/>
          <a:ext cx="35544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32</xdr:row>
      <xdr:rowOff>114300</xdr:rowOff>
    </xdr:from>
    <xdr:to>
      <xdr:col>1</xdr:col>
      <xdr:colOff>437967</xdr:colOff>
      <xdr:row>34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1" y="7467600"/>
          <a:ext cx="1047566" cy="4572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38</xdr:row>
      <xdr:rowOff>28575</xdr:rowOff>
    </xdr:from>
    <xdr:to>
      <xdr:col>7</xdr:col>
      <xdr:colOff>267926</xdr:colOff>
      <xdr:row>40</xdr:row>
      <xdr:rowOff>238951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0425" y="852487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2381250</xdr:colOff>
      <xdr:row>38</xdr:row>
      <xdr:rowOff>76200</xdr:rowOff>
    </xdr:from>
    <xdr:to>
      <xdr:col>3</xdr:col>
      <xdr:colOff>118249</xdr:colOff>
      <xdr:row>41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8575" y="8572500"/>
          <a:ext cx="327799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38</xdr:row>
      <xdr:rowOff>120413</xdr:rowOff>
    </xdr:from>
    <xdr:to>
      <xdr:col>1</xdr:col>
      <xdr:colOff>578707</xdr:colOff>
      <xdr:row>40</xdr:row>
      <xdr:rowOff>247651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8616713"/>
          <a:ext cx="1340707" cy="66063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34</xdr:row>
      <xdr:rowOff>38100</xdr:rowOff>
    </xdr:from>
    <xdr:to>
      <xdr:col>6</xdr:col>
      <xdr:colOff>601301</xdr:colOff>
      <xdr:row>36</xdr:row>
      <xdr:rowOff>248476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3200" y="81534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2505075</xdr:colOff>
      <xdr:row>34</xdr:row>
      <xdr:rowOff>104776</xdr:rowOff>
    </xdr:from>
    <xdr:to>
      <xdr:col>3</xdr:col>
      <xdr:colOff>12545</xdr:colOff>
      <xdr:row>37</xdr:row>
      <xdr:rowOff>161926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90950" y="8220076"/>
          <a:ext cx="35544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34</xdr:row>
      <xdr:rowOff>9525</xdr:rowOff>
    </xdr:from>
    <xdr:to>
      <xdr:col>2</xdr:col>
      <xdr:colOff>230240</xdr:colOff>
      <xdr:row>36</xdr:row>
      <xdr:rowOff>262577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8124825"/>
          <a:ext cx="1335140" cy="786452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33</xdr:row>
      <xdr:rowOff>19050</xdr:rowOff>
    </xdr:from>
    <xdr:to>
      <xdr:col>6</xdr:col>
      <xdr:colOff>601301</xdr:colOff>
      <xdr:row>35</xdr:row>
      <xdr:rowOff>229426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77533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1981201</xdr:colOff>
      <xdr:row>33</xdr:row>
      <xdr:rowOff>19051</xdr:rowOff>
    </xdr:from>
    <xdr:to>
      <xdr:col>3</xdr:col>
      <xdr:colOff>233943</xdr:colOff>
      <xdr:row>36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8526" y="7753351"/>
          <a:ext cx="367292" cy="8858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33</xdr:row>
      <xdr:rowOff>85725</xdr:rowOff>
    </xdr:from>
    <xdr:to>
      <xdr:col>2</xdr:col>
      <xdr:colOff>355238</xdr:colOff>
      <xdr:row>35</xdr:row>
      <xdr:rowOff>9565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7820025"/>
          <a:ext cx="1688738" cy="45724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45</xdr:row>
      <xdr:rowOff>0</xdr:rowOff>
    </xdr:from>
    <xdr:to>
      <xdr:col>6</xdr:col>
      <xdr:colOff>334601</xdr:colOff>
      <xdr:row>47</xdr:row>
      <xdr:rowOff>210376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100203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2295525</xdr:colOff>
      <xdr:row>45</xdr:row>
      <xdr:rowOff>19050</xdr:rowOff>
    </xdr:from>
    <xdr:to>
      <xdr:col>2</xdr:col>
      <xdr:colOff>2710089</xdr:colOff>
      <xdr:row>48</xdr:row>
      <xdr:rowOff>218781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0" y="10039350"/>
          <a:ext cx="414564" cy="99983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45</xdr:row>
      <xdr:rowOff>76201</xdr:rowOff>
    </xdr:from>
    <xdr:to>
      <xdr:col>1</xdr:col>
      <xdr:colOff>428626</xdr:colOff>
      <xdr:row>48</xdr:row>
      <xdr:rowOff>54177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1" y="10096501"/>
          <a:ext cx="1047750" cy="77807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23</xdr:row>
      <xdr:rowOff>171450</xdr:rowOff>
    </xdr:from>
    <xdr:to>
      <xdr:col>6</xdr:col>
      <xdr:colOff>591776</xdr:colOff>
      <xdr:row>26</xdr:row>
      <xdr:rowOff>143701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54292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24</xdr:row>
      <xdr:rowOff>38101</xdr:rowOff>
    </xdr:from>
    <xdr:to>
      <xdr:col>2</xdr:col>
      <xdr:colOff>282498</xdr:colOff>
      <xdr:row>27</xdr:row>
      <xdr:rowOff>114301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0450" y="5562601"/>
          <a:ext cx="339648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23</xdr:row>
      <xdr:rowOff>180975</xdr:rowOff>
    </xdr:from>
    <xdr:to>
      <xdr:col>0</xdr:col>
      <xdr:colOff>1163276</xdr:colOff>
      <xdr:row>26</xdr:row>
      <xdr:rowOff>153226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" y="5438775"/>
          <a:ext cx="963251" cy="743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77</xdr:row>
      <xdr:rowOff>19050</xdr:rowOff>
    </xdr:from>
    <xdr:to>
      <xdr:col>5</xdr:col>
      <xdr:colOff>382226</xdr:colOff>
      <xdr:row>79</xdr:row>
      <xdr:rowOff>162751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154495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76</xdr:row>
      <xdr:rowOff>238125</xdr:rowOff>
    </xdr:from>
    <xdr:to>
      <xdr:col>0</xdr:col>
      <xdr:colOff>1372826</xdr:colOff>
      <xdr:row>79</xdr:row>
      <xdr:rowOff>124651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54114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77</xdr:row>
      <xdr:rowOff>123825</xdr:rowOff>
    </xdr:from>
    <xdr:to>
      <xdr:col>2</xdr:col>
      <xdr:colOff>443139</xdr:colOff>
      <xdr:row>80</xdr:row>
      <xdr:rowOff>256881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3825" y="15554325"/>
          <a:ext cx="414564" cy="9998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46</xdr:row>
      <xdr:rowOff>238125</xdr:rowOff>
    </xdr:from>
    <xdr:to>
      <xdr:col>6</xdr:col>
      <xdr:colOff>525101</xdr:colOff>
      <xdr:row>49</xdr:row>
      <xdr:rowOff>181801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98774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47</xdr:row>
      <xdr:rowOff>95251</xdr:rowOff>
    </xdr:from>
    <xdr:to>
      <xdr:col>2</xdr:col>
      <xdr:colOff>364970</xdr:colOff>
      <xdr:row>50</xdr:row>
      <xdr:rowOff>152401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14725" y="10001251"/>
          <a:ext cx="35544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46</xdr:row>
      <xdr:rowOff>228600</xdr:rowOff>
    </xdr:from>
    <xdr:to>
      <xdr:col>0</xdr:col>
      <xdr:colOff>1249001</xdr:colOff>
      <xdr:row>49</xdr:row>
      <xdr:rowOff>172276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9867900"/>
          <a:ext cx="963251" cy="74377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80</xdr:row>
      <xdr:rowOff>228600</xdr:rowOff>
    </xdr:from>
    <xdr:to>
      <xdr:col>5</xdr:col>
      <xdr:colOff>801326</xdr:colOff>
      <xdr:row>84</xdr:row>
      <xdr:rowOff>19876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6050" y="158591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80</xdr:row>
      <xdr:rowOff>219075</xdr:rowOff>
    </xdr:from>
    <xdr:to>
      <xdr:col>0</xdr:col>
      <xdr:colOff>1239476</xdr:colOff>
      <xdr:row>84</xdr:row>
      <xdr:rowOff>10351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58496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81</xdr:row>
      <xdr:rowOff>38100</xdr:rowOff>
    </xdr:from>
    <xdr:to>
      <xdr:col>2</xdr:col>
      <xdr:colOff>344074</xdr:colOff>
      <xdr:row>84</xdr:row>
      <xdr:rowOff>177239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5906750"/>
          <a:ext cx="353599" cy="8535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69</xdr:row>
      <xdr:rowOff>0</xdr:rowOff>
    </xdr:from>
    <xdr:to>
      <xdr:col>6</xdr:col>
      <xdr:colOff>182201</xdr:colOff>
      <xdr:row>72</xdr:row>
      <xdr:rowOff>29401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5025" y="154114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69</xdr:row>
      <xdr:rowOff>9525</xdr:rowOff>
    </xdr:from>
    <xdr:to>
      <xdr:col>0</xdr:col>
      <xdr:colOff>1001351</xdr:colOff>
      <xdr:row>72</xdr:row>
      <xdr:rowOff>38926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42097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68</xdr:row>
      <xdr:rowOff>219075</xdr:rowOff>
    </xdr:from>
    <xdr:to>
      <xdr:col>2</xdr:col>
      <xdr:colOff>58324</xdr:colOff>
      <xdr:row>72</xdr:row>
      <xdr:rowOff>120089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8100" y="15392400"/>
          <a:ext cx="353599" cy="8535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992188</xdr:colOff>
      <xdr:row>59</xdr:row>
      <xdr:rowOff>59531</xdr:rowOff>
    </xdr:from>
    <xdr:to>
      <xdr:col>5</xdr:col>
      <xdr:colOff>953329</xdr:colOff>
      <xdr:row>61</xdr:row>
      <xdr:rowOff>79010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422" y="11836797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327422</xdr:colOff>
      <xdr:row>59</xdr:row>
      <xdr:rowOff>69453</xdr:rowOff>
    </xdr:from>
    <xdr:to>
      <xdr:col>0</xdr:col>
      <xdr:colOff>1290673</xdr:colOff>
      <xdr:row>61</xdr:row>
      <xdr:rowOff>88932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422" y="11846719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347266</xdr:colOff>
      <xdr:row>59</xdr:row>
      <xdr:rowOff>208359</xdr:rowOff>
    </xdr:from>
    <xdr:to>
      <xdr:col>2</xdr:col>
      <xdr:colOff>761830</xdr:colOff>
      <xdr:row>62</xdr:row>
      <xdr:rowOff>216003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7422" y="11985625"/>
          <a:ext cx="414564" cy="9998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161925</xdr:rowOff>
    </xdr:from>
    <xdr:to>
      <xdr:col>6</xdr:col>
      <xdr:colOff>77426</xdr:colOff>
      <xdr:row>51</xdr:row>
      <xdr:rowOff>181801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069657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49</xdr:row>
      <xdr:rowOff>133350</xdr:rowOff>
    </xdr:from>
    <xdr:to>
      <xdr:col>2</xdr:col>
      <xdr:colOff>633639</xdr:colOff>
      <xdr:row>52</xdr:row>
      <xdr:rowOff>142581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0050" y="10668000"/>
          <a:ext cx="414564" cy="99983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49</xdr:row>
      <xdr:rowOff>38099</xdr:rowOff>
    </xdr:from>
    <xdr:to>
      <xdr:col>0</xdr:col>
      <xdr:colOff>1424419</xdr:colOff>
      <xdr:row>52</xdr:row>
      <xdr:rowOff>238124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7487" l="0" r="9845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0572749"/>
          <a:ext cx="1157718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177426</xdr:colOff>
      <xdr:row>56</xdr:row>
      <xdr:rowOff>0</xdr:rowOff>
    </xdr:from>
    <xdr:to>
      <xdr:col>6</xdr:col>
      <xdr:colOff>253544</xdr:colOff>
      <xdr:row>58</xdr:row>
      <xdr:rowOff>80762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2058" y="10701618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65368</xdr:colOff>
      <xdr:row>56</xdr:row>
      <xdr:rowOff>112059</xdr:rowOff>
    </xdr:from>
    <xdr:to>
      <xdr:col>2</xdr:col>
      <xdr:colOff>479932</xdr:colOff>
      <xdr:row>59</xdr:row>
      <xdr:rowOff>178067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3309" y="10813677"/>
          <a:ext cx="414564" cy="999831"/>
        </a:xfrm>
        <a:prstGeom prst="rect">
          <a:avLst/>
        </a:prstGeom>
      </xdr:spPr>
    </xdr:pic>
    <xdr:clientData/>
  </xdr:twoCellAnchor>
  <xdr:twoCellAnchor editAs="oneCell">
    <xdr:from>
      <xdr:col>0</xdr:col>
      <xdr:colOff>196103</xdr:colOff>
      <xdr:row>56</xdr:row>
      <xdr:rowOff>214779</xdr:rowOff>
    </xdr:from>
    <xdr:to>
      <xdr:col>0</xdr:col>
      <xdr:colOff>1288676</xdr:colOff>
      <xdr:row>58</xdr:row>
      <xdr:rowOff>28608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103" y="10916397"/>
          <a:ext cx="1092573" cy="4768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55</xdr:row>
      <xdr:rowOff>0</xdr:rowOff>
    </xdr:from>
    <xdr:to>
      <xdr:col>6</xdr:col>
      <xdr:colOff>182201</xdr:colOff>
      <xdr:row>57</xdr:row>
      <xdr:rowOff>77026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08013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142875</xdr:rowOff>
    </xdr:from>
    <xdr:to>
      <xdr:col>2</xdr:col>
      <xdr:colOff>414564</xdr:colOff>
      <xdr:row>58</xdr:row>
      <xdr:rowOff>209256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8100" y="10944225"/>
          <a:ext cx="414564" cy="99983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55</xdr:row>
      <xdr:rowOff>209550</xdr:rowOff>
    </xdr:from>
    <xdr:to>
      <xdr:col>0</xdr:col>
      <xdr:colOff>1866298</xdr:colOff>
      <xdr:row>57</xdr:row>
      <xdr:rowOff>213418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1010900"/>
          <a:ext cx="1847248" cy="6706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57</xdr:row>
      <xdr:rowOff>266700</xdr:rowOff>
    </xdr:from>
    <xdr:to>
      <xdr:col>6</xdr:col>
      <xdr:colOff>286976</xdr:colOff>
      <xdr:row>59</xdr:row>
      <xdr:rowOff>219901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625" y="1126807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57</xdr:row>
      <xdr:rowOff>314325</xdr:rowOff>
    </xdr:from>
    <xdr:to>
      <xdr:col>2</xdr:col>
      <xdr:colOff>519693</xdr:colOff>
      <xdr:row>60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4775" y="11315700"/>
          <a:ext cx="367293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57</xdr:row>
      <xdr:rowOff>381001</xdr:rowOff>
    </xdr:from>
    <xdr:to>
      <xdr:col>0</xdr:col>
      <xdr:colOff>976196</xdr:colOff>
      <xdr:row>60</xdr:row>
      <xdr:rowOff>161926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" y="11382376"/>
          <a:ext cx="347546" cy="838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58</xdr:row>
      <xdr:rowOff>57150</xdr:rowOff>
    </xdr:from>
    <xdr:to>
      <xdr:col>5</xdr:col>
      <xdr:colOff>868001</xdr:colOff>
      <xdr:row>60</xdr:row>
      <xdr:rowOff>143701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0" y="112490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58</xdr:row>
      <xdr:rowOff>152400</xdr:rowOff>
    </xdr:from>
    <xdr:to>
      <xdr:col>2</xdr:col>
      <xdr:colOff>519339</xdr:colOff>
      <xdr:row>61</xdr:row>
      <xdr:rowOff>228306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2425" y="11344275"/>
          <a:ext cx="414564" cy="9998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228600</xdr:rowOff>
    </xdr:from>
    <xdr:to>
      <xdr:col>0</xdr:col>
      <xdr:colOff>1227524</xdr:colOff>
      <xdr:row>60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20475"/>
          <a:ext cx="1227524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2018.sheila%202\Nooo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ocuments\New_Forms_Budget_2017\With_Data\LBP_Form_No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2018.sheila%202\LBP_Form_No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ooo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2018.sheila%202\LBP_Form_No.2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AAOB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18%20.3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MO(Misc.)"/>
      <sheetName val="gad"/>
      <sheetName val="SB(L)"/>
      <sheetName val="SB(S)"/>
      <sheetName val="MPDC"/>
      <sheetName val="LCR"/>
      <sheetName val="MBO"/>
      <sheetName val="Accounting"/>
      <sheetName val="MTO"/>
      <sheetName val="Assessor"/>
      <sheetName val="MHO"/>
      <sheetName val="MSWD"/>
      <sheetName val="Agri"/>
      <sheetName val="MEO"/>
      <sheetName val="MENRO"/>
      <sheetName val="LDRRM"/>
      <sheetName val="MRKT"/>
      <sheetName val="piwas"/>
      <sheetName val="CTR"/>
      <sheetName val="Summary_PS_2017"/>
      <sheetName val="CO"/>
      <sheetName val="MOOE_Overall_General_Fund"/>
      <sheetName val="PS_Summary_2_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U8">
            <v>26275104</v>
          </cell>
        </row>
        <row r="9">
          <cell r="U9">
            <v>1595840</v>
          </cell>
        </row>
        <row r="10">
          <cell r="U10">
            <v>1992000</v>
          </cell>
        </row>
        <row r="11">
          <cell r="U11">
            <v>1686000</v>
          </cell>
        </row>
        <row r="12">
          <cell r="U12">
            <v>1686000</v>
          </cell>
        </row>
        <row r="13">
          <cell r="U13">
            <v>410000</v>
          </cell>
        </row>
        <row r="15">
          <cell r="U15">
            <v>415000</v>
          </cell>
        </row>
        <row r="16">
          <cell r="U16">
            <v>2196041</v>
          </cell>
        </row>
        <row r="17">
          <cell r="U17">
            <v>2383396</v>
          </cell>
        </row>
        <row r="18">
          <cell r="U18">
            <v>3114982.0799999996</v>
          </cell>
        </row>
        <row r="19">
          <cell r="U19">
            <v>98400</v>
          </cell>
        </row>
        <row r="20">
          <cell r="U20">
            <v>217200</v>
          </cell>
        </row>
        <row r="21">
          <cell r="U21">
            <v>251740.80000000002</v>
          </cell>
        </row>
        <row r="22">
          <cell r="U22">
            <v>2022379.68071</v>
          </cell>
        </row>
        <row r="23">
          <cell r="U23">
            <v>405003</v>
          </cell>
        </row>
        <row r="24">
          <cell r="U24">
            <v>307033.16000000003</v>
          </cell>
        </row>
        <row r="25">
          <cell r="U25">
            <v>655044</v>
          </cell>
        </row>
        <row r="34">
          <cell r="U34">
            <v>16861110.620000001</v>
          </cell>
        </row>
        <row r="35">
          <cell r="U35">
            <v>67000</v>
          </cell>
        </row>
        <row r="36">
          <cell r="U36">
            <v>1484666.67</v>
          </cell>
        </row>
        <row r="37">
          <cell r="U37">
            <v>1463451.085</v>
          </cell>
        </row>
        <row r="38">
          <cell r="U38">
            <v>1463451.08</v>
          </cell>
        </row>
        <row r="39">
          <cell r="U39">
            <v>355000</v>
          </cell>
        </row>
        <row r="41">
          <cell r="U41">
            <v>322500</v>
          </cell>
        </row>
        <row r="42">
          <cell r="U42">
            <v>1494999.02</v>
          </cell>
        </row>
        <row r="43">
          <cell r="U43">
            <v>1398625.28</v>
          </cell>
        </row>
        <row r="44">
          <cell r="U44">
            <v>2004914.2599999995</v>
          </cell>
        </row>
        <row r="45">
          <cell r="U45">
            <v>76800</v>
          </cell>
        </row>
        <row r="46">
          <cell r="U46">
            <v>176537.5</v>
          </cell>
        </row>
        <row r="47">
          <cell r="U47">
            <v>71025.489999999991</v>
          </cell>
        </row>
        <row r="48">
          <cell r="U48">
            <v>2256688.6899999995</v>
          </cell>
        </row>
        <row r="49">
          <cell r="U49">
            <v>1242850.3599999999</v>
          </cell>
        </row>
        <row r="50">
          <cell r="U50">
            <v>893788.95000000007</v>
          </cell>
        </row>
        <row r="52">
          <cell r="U52">
            <v>2154508.61</v>
          </cell>
        </row>
        <row r="59">
          <cell r="U59">
            <v>13080823.800000001</v>
          </cell>
        </row>
        <row r="60">
          <cell r="U60">
            <v>186290</v>
          </cell>
        </row>
        <row r="61">
          <cell r="U61">
            <v>1222436.6299999999</v>
          </cell>
        </row>
        <row r="62">
          <cell r="U62">
            <v>33750</v>
          </cell>
        </row>
        <row r="63">
          <cell r="U63">
            <v>33750</v>
          </cell>
        </row>
        <row r="69">
          <cell r="U69">
            <v>1242900.3600000001</v>
          </cell>
        </row>
        <row r="70">
          <cell r="U70">
            <v>45000</v>
          </cell>
        </row>
        <row r="71">
          <cell r="U71">
            <v>155662.5</v>
          </cell>
        </row>
        <row r="72">
          <cell r="U72">
            <v>41537.210000000006</v>
          </cell>
        </row>
        <row r="75">
          <cell r="U75">
            <v>181105</v>
          </cell>
        </row>
        <row r="76">
          <cell r="U76">
            <v>19549.89</v>
          </cell>
        </row>
        <row r="85">
          <cell r="U85">
            <v>4157579.4800000009</v>
          </cell>
        </row>
        <row r="86">
          <cell r="U86">
            <v>1548879.4</v>
          </cell>
        </row>
        <row r="87">
          <cell r="U87">
            <v>385081.81000000006</v>
          </cell>
        </row>
        <row r="88">
          <cell r="U88">
            <v>1406250</v>
          </cell>
        </row>
        <row r="90">
          <cell r="U90">
            <v>350000</v>
          </cell>
        </row>
        <row r="92">
          <cell r="U92">
            <v>313000</v>
          </cell>
        </row>
        <row r="93">
          <cell r="U93">
            <v>1602527.2</v>
          </cell>
        </row>
        <row r="94">
          <cell r="U94">
            <v>1602008</v>
          </cell>
        </row>
        <row r="95">
          <cell r="U95">
            <v>495643.18</v>
          </cell>
        </row>
        <row r="96">
          <cell r="U96">
            <v>16750</v>
          </cell>
        </row>
        <row r="97">
          <cell r="U97">
            <v>34844.68</v>
          </cell>
        </row>
        <row r="98">
          <cell r="U98">
            <v>29820.230000000003</v>
          </cell>
        </row>
        <row r="99">
          <cell r="U99">
            <v>1238826.1599999999</v>
          </cell>
        </row>
        <row r="100">
          <cell r="U100">
            <v>467924.82</v>
          </cell>
        </row>
        <row r="101">
          <cell r="U101">
            <v>353472.25</v>
          </cell>
        </row>
        <row r="103">
          <cell r="U103">
            <v>200000</v>
          </cell>
        </row>
        <row r="104">
          <cell r="U104">
            <v>15608857.209999997</v>
          </cell>
        </row>
      </sheetData>
      <sheetData sheetId="21" refreshError="1">
        <row r="8">
          <cell r="U8">
            <v>972000</v>
          </cell>
        </row>
        <row r="9">
          <cell r="U9">
            <v>150000</v>
          </cell>
        </row>
        <row r="10">
          <cell r="U10">
            <v>353079.21</v>
          </cell>
        </row>
        <row r="11">
          <cell r="U11">
            <v>12000</v>
          </cell>
        </row>
        <row r="12">
          <cell r="U12">
            <v>45000</v>
          </cell>
        </row>
        <row r="13">
          <cell r="U13">
            <v>25000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70000</v>
          </cell>
        </row>
        <row r="18">
          <cell r="U18">
            <v>100000</v>
          </cell>
        </row>
        <row r="19">
          <cell r="U19">
            <v>250000</v>
          </cell>
        </row>
        <row r="20">
          <cell r="U20">
            <v>100000</v>
          </cell>
        </row>
      </sheetData>
      <sheetData sheetId="22" refreshError="1">
        <row r="126">
          <cell r="V126">
            <v>879350.7699999999</v>
          </cell>
        </row>
        <row r="127">
          <cell r="V127">
            <v>2292191.42</v>
          </cell>
        </row>
        <row r="128">
          <cell r="V128">
            <v>736995.03</v>
          </cell>
        </row>
        <row r="129">
          <cell r="V129">
            <v>522979.56000000006</v>
          </cell>
        </row>
        <row r="130">
          <cell r="V130">
            <v>5373429.7300000004</v>
          </cell>
        </row>
        <row r="131">
          <cell r="V131">
            <v>240862.59</v>
          </cell>
        </row>
        <row r="132">
          <cell r="V132">
            <v>44166.83</v>
          </cell>
        </row>
        <row r="133">
          <cell r="V133">
            <v>0</v>
          </cell>
        </row>
        <row r="134">
          <cell r="V134">
            <v>436585.01</v>
          </cell>
        </row>
        <row r="135">
          <cell r="V135">
            <v>18474.63</v>
          </cell>
        </row>
        <row r="136">
          <cell r="V136">
            <v>45729.74</v>
          </cell>
        </row>
        <row r="137">
          <cell r="V137">
            <v>32836</v>
          </cell>
        </row>
        <row r="138">
          <cell r="V138">
            <v>23194</v>
          </cell>
        </row>
        <row r="139">
          <cell r="V139">
            <v>41879.980000000003</v>
          </cell>
        </row>
        <row r="140">
          <cell r="V140">
            <v>0</v>
          </cell>
        </row>
        <row r="143">
          <cell r="V143">
            <v>150000</v>
          </cell>
        </row>
        <row r="144">
          <cell r="V144">
            <v>0</v>
          </cell>
        </row>
        <row r="146">
          <cell r="V146">
            <v>39665.01</v>
          </cell>
        </row>
        <row r="148">
          <cell r="V148">
            <v>47062.5</v>
          </cell>
        </row>
        <row r="152">
          <cell r="V152">
            <v>13000</v>
          </cell>
        </row>
        <row r="153">
          <cell r="V153">
            <v>88940</v>
          </cell>
        </row>
        <row r="154">
          <cell r="V154">
            <v>85900</v>
          </cell>
        </row>
        <row r="158">
          <cell r="V158">
            <v>135398.69</v>
          </cell>
        </row>
        <row r="206">
          <cell r="V206">
            <v>0</v>
          </cell>
        </row>
        <row r="207">
          <cell r="V207">
            <v>80504.91</v>
          </cell>
        </row>
        <row r="213">
          <cell r="V213">
            <v>1277250.33</v>
          </cell>
        </row>
        <row r="216">
          <cell r="V216">
            <v>250944.03</v>
          </cell>
        </row>
        <row r="217">
          <cell r="V217">
            <v>289627.39</v>
          </cell>
        </row>
        <row r="234">
          <cell r="V234">
            <v>210755.8</v>
          </cell>
        </row>
        <row r="235">
          <cell r="V235">
            <v>50000</v>
          </cell>
        </row>
        <row r="236">
          <cell r="V236">
            <v>0</v>
          </cell>
        </row>
        <row r="287">
          <cell r="V287">
            <v>338339.93000000005</v>
          </cell>
        </row>
        <row r="288">
          <cell r="V288">
            <v>1697782.1700000002</v>
          </cell>
        </row>
        <row r="289">
          <cell r="V289">
            <v>290476.98</v>
          </cell>
        </row>
        <row r="290">
          <cell r="V290">
            <v>344972.61</v>
          </cell>
        </row>
        <row r="291">
          <cell r="V291">
            <v>790203</v>
          </cell>
        </row>
        <row r="292">
          <cell r="V292">
            <v>32637.84</v>
          </cell>
        </row>
        <row r="293">
          <cell r="V293">
            <v>0</v>
          </cell>
        </row>
        <row r="294">
          <cell r="V294">
            <v>63975.040000000001</v>
          </cell>
        </row>
        <row r="295">
          <cell r="V295">
            <v>182129.89</v>
          </cell>
        </row>
        <row r="296">
          <cell r="V296">
            <v>26680</v>
          </cell>
        </row>
        <row r="297">
          <cell r="V297">
            <v>540</v>
          </cell>
        </row>
        <row r="298">
          <cell r="V298">
            <v>14843.12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37500</v>
          </cell>
        </row>
        <row r="305">
          <cell r="V305">
            <v>119000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45365</v>
          </cell>
        </row>
        <row r="310">
          <cell r="V310">
            <v>0</v>
          </cell>
        </row>
        <row r="311">
          <cell r="V311">
            <v>54000</v>
          </cell>
        </row>
        <row r="312">
          <cell r="V312">
            <v>108500</v>
          </cell>
        </row>
        <row r="313">
          <cell r="V313">
            <v>0</v>
          </cell>
        </row>
        <row r="314">
          <cell r="V314">
            <v>321450</v>
          </cell>
        </row>
        <row r="315">
          <cell r="V315">
            <v>63830</v>
          </cell>
        </row>
        <row r="316">
          <cell r="V316">
            <v>40320</v>
          </cell>
        </row>
        <row r="317">
          <cell r="V317">
            <v>37950</v>
          </cell>
        </row>
        <row r="318">
          <cell r="V318">
            <v>0</v>
          </cell>
        </row>
        <row r="327">
          <cell r="V327">
            <v>210000</v>
          </cell>
        </row>
        <row r="328">
          <cell r="V328">
            <v>1000</v>
          </cell>
        </row>
        <row r="329">
          <cell r="V329">
            <v>0</v>
          </cell>
        </row>
        <row r="330">
          <cell r="V330">
            <v>312078.90000000002</v>
          </cell>
        </row>
        <row r="331">
          <cell r="V331">
            <v>212408</v>
          </cell>
        </row>
        <row r="332">
          <cell r="V332">
            <v>287920</v>
          </cell>
        </row>
        <row r="333">
          <cell r="V333">
            <v>30100.35</v>
          </cell>
        </row>
        <row r="334">
          <cell r="V334">
            <v>0</v>
          </cell>
        </row>
        <row r="335">
          <cell r="V335">
            <v>28990</v>
          </cell>
        </row>
        <row r="336">
          <cell r="V336">
            <v>12000</v>
          </cell>
        </row>
        <row r="337">
          <cell r="V337">
            <v>0</v>
          </cell>
        </row>
        <row r="339">
          <cell r="V339">
            <v>40874.99</v>
          </cell>
        </row>
        <row r="346">
          <cell r="V346">
            <v>5000</v>
          </cell>
        </row>
        <row r="347">
          <cell r="V347">
            <v>0</v>
          </cell>
        </row>
        <row r="348">
          <cell r="V348">
            <v>25000</v>
          </cell>
        </row>
        <row r="349">
          <cell r="V349">
            <v>351532.7</v>
          </cell>
        </row>
        <row r="350">
          <cell r="V350">
            <v>30275</v>
          </cell>
        </row>
        <row r="351">
          <cell r="V351">
            <v>2920</v>
          </cell>
        </row>
        <row r="352">
          <cell r="V352">
            <v>72479.5</v>
          </cell>
        </row>
        <row r="361">
          <cell r="V361">
            <v>43200</v>
          </cell>
        </row>
        <row r="367">
          <cell r="V367">
            <v>20000</v>
          </cell>
        </row>
        <row r="370">
          <cell r="V370">
            <v>2730</v>
          </cell>
        </row>
        <row r="372">
          <cell r="V372">
            <v>58297</v>
          </cell>
        </row>
        <row r="373">
          <cell r="V373">
            <v>686290.56</v>
          </cell>
        </row>
        <row r="379">
          <cell r="V379">
            <v>27464.68</v>
          </cell>
        </row>
        <row r="380">
          <cell r="V380">
            <v>184800</v>
          </cell>
        </row>
        <row r="381">
          <cell r="V381">
            <v>22400</v>
          </cell>
        </row>
        <row r="383">
          <cell r="V383">
            <v>287920</v>
          </cell>
        </row>
        <row r="384">
          <cell r="V384">
            <v>121750</v>
          </cell>
        </row>
        <row r="385">
          <cell r="V385">
            <v>149450</v>
          </cell>
        </row>
        <row r="386">
          <cell r="V386">
            <v>42000</v>
          </cell>
        </row>
        <row r="387">
          <cell r="V387">
            <v>31500</v>
          </cell>
        </row>
        <row r="390">
          <cell r="V390">
            <v>43200</v>
          </cell>
        </row>
        <row r="391">
          <cell r="V391">
            <v>194149.2</v>
          </cell>
        </row>
        <row r="392">
          <cell r="V392">
            <v>6500</v>
          </cell>
        </row>
        <row r="394">
          <cell r="V394">
            <v>116430</v>
          </cell>
        </row>
        <row r="395">
          <cell r="V395">
            <v>40000</v>
          </cell>
        </row>
        <row r="396">
          <cell r="V396">
            <v>32400</v>
          </cell>
        </row>
        <row r="436">
          <cell r="V436">
            <v>30100.35</v>
          </cell>
        </row>
        <row r="438">
          <cell r="V438">
            <v>103804</v>
          </cell>
        </row>
        <row r="447">
          <cell r="V447">
            <v>470127.04000000004</v>
          </cell>
        </row>
        <row r="448">
          <cell r="V448">
            <v>2212722.06</v>
          </cell>
        </row>
        <row r="449">
          <cell r="V449">
            <v>298051.84999999998</v>
          </cell>
        </row>
        <row r="450">
          <cell r="V450">
            <v>340131.21</v>
          </cell>
        </row>
        <row r="451">
          <cell r="V451">
            <v>1129261.9300000002</v>
          </cell>
        </row>
        <row r="452">
          <cell r="V452">
            <v>70961.41</v>
          </cell>
        </row>
        <row r="453">
          <cell r="V453">
            <v>14312.5</v>
          </cell>
        </row>
        <row r="454">
          <cell r="V454">
            <v>33433.75</v>
          </cell>
        </row>
        <row r="455">
          <cell r="V455">
            <v>408930</v>
          </cell>
        </row>
        <row r="456">
          <cell r="V456">
            <v>1613.63</v>
          </cell>
        </row>
        <row r="457">
          <cell r="V457">
            <v>2202.1500000000015</v>
          </cell>
        </row>
        <row r="458">
          <cell r="V458">
            <v>14560</v>
          </cell>
        </row>
        <row r="459">
          <cell r="V459">
            <v>2705</v>
          </cell>
        </row>
        <row r="460">
          <cell r="V460">
            <v>66955</v>
          </cell>
        </row>
        <row r="461">
          <cell r="V461">
            <v>0</v>
          </cell>
        </row>
        <row r="464">
          <cell r="V464">
            <v>81250</v>
          </cell>
        </row>
        <row r="465">
          <cell r="V465">
            <v>170640</v>
          </cell>
        </row>
        <row r="467">
          <cell r="V467">
            <v>10000</v>
          </cell>
        </row>
        <row r="469">
          <cell r="V469">
            <v>72869.5</v>
          </cell>
        </row>
        <row r="470">
          <cell r="V470">
            <v>4000</v>
          </cell>
        </row>
        <row r="471">
          <cell r="V471">
            <v>122930</v>
          </cell>
        </row>
        <row r="472">
          <cell r="V472">
            <v>199740</v>
          </cell>
        </row>
        <row r="473">
          <cell r="V473">
            <v>15500</v>
          </cell>
        </row>
        <row r="474">
          <cell r="V474">
            <v>826980</v>
          </cell>
        </row>
        <row r="475">
          <cell r="V475">
            <v>148900</v>
          </cell>
        </row>
        <row r="476">
          <cell r="V476">
            <v>191280</v>
          </cell>
        </row>
        <row r="477">
          <cell r="V477">
            <v>63860</v>
          </cell>
        </row>
        <row r="479">
          <cell r="V479">
            <v>0</v>
          </cell>
        </row>
        <row r="480">
          <cell r="V480">
            <v>10000</v>
          </cell>
        </row>
        <row r="482">
          <cell r="V482">
            <v>19500</v>
          </cell>
        </row>
        <row r="487">
          <cell r="V487">
            <v>374500</v>
          </cell>
        </row>
        <row r="488">
          <cell r="V488">
            <v>1000</v>
          </cell>
        </row>
        <row r="489">
          <cell r="V489">
            <v>610</v>
          </cell>
        </row>
        <row r="490">
          <cell r="V490">
            <v>24483.5</v>
          </cell>
        </row>
        <row r="491">
          <cell r="V491">
            <v>626105.97</v>
          </cell>
        </row>
        <row r="492">
          <cell r="V492">
            <v>292706</v>
          </cell>
        </row>
        <row r="493">
          <cell r="V493">
            <v>349855.35</v>
          </cell>
        </row>
        <row r="494">
          <cell r="V494">
            <v>5000</v>
          </cell>
        </row>
        <row r="495">
          <cell r="V495">
            <v>9355</v>
          </cell>
        </row>
        <row r="496">
          <cell r="V496">
            <v>12000</v>
          </cell>
        </row>
        <row r="497">
          <cell r="V497">
            <v>0</v>
          </cell>
        </row>
        <row r="499">
          <cell r="V499">
            <v>6800</v>
          </cell>
        </row>
        <row r="509">
          <cell r="V509">
            <v>465546.15</v>
          </cell>
        </row>
        <row r="510">
          <cell r="V510">
            <v>12500</v>
          </cell>
        </row>
        <row r="512">
          <cell r="V512">
            <v>108273.66</v>
          </cell>
        </row>
        <row r="518">
          <cell r="V518">
            <v>43356.08</v>
          </cell>
        </row>
        <row r="519">
          <cell r="V519">
            <v>39567.85</v>
          </cell>
        </row>
        <row r="521">
          <cell r="V521">
            <v>106800</v>
          </cell>
        </row>
        <row r="522">
          <cell r="V522">
            <v>15000</v>
          </cell>
        </row>
        <row r="527">
          <cell r="V527">
            <v>60504.91</v>
          </cell>
        </row>
        <row r="529">
          <cell r="V529">
            <v>2835</v>
          </cell>
        </row>
        <row r="531">
          <cell r="V531">
            <v>91247.47</v>
          </cell>
        </row>
        <row r="532">
          <cell r="V532">
            <v>56487</v>
          </cell>
        </row>
        <row r="533">
          <cell r="V533">
            <v>640245.34999999986</v>
          </cell>
        </row>
        <row r="534">
          <cell r="V534">
            <v>312925.55</v>
          </cell>
        </row>
        <row r="535">
          <cell r="V535">
            <v>336461.19</v>
          </cell>
        </row>
        <row r="536">
          <cell r="V536">
            <v>112430</v>
          </cell>
        </row>
        <row r="540">
          <cell r="V540">
            <v>278300</v>
          </cell>
        </row>
        <row r="541">
          <cell r="V541">
            <v>25400</v>
          </cell>
        </row>
        <row r="542">
          <cell r="V542">
            <v>269390</v>
          </cell>
        </row>
        <row r="543">
          <cell r="V543">
            <v>278610</v>
          </cell>
        </row>
        <row r="544">
          <cell r="V544">
            <v>379613</v>
          </cell>
        </row>
        <row r="545">
          <cell r="V545">
            <v>149450</v>
          </cell>
        </row>
        <row r="546">
          <cell r="V546">
            <v>58800</v>
          </cell>
        </row>
        <row r="547">
          <cell r="V547">
            <v>40500</v>
          </cell>
        </row>
        <row r="548">
          <cell r="V548">
            <v>0</v>
          </cell>
        </row>
        <row r="550">
          <cell r="V550">
            <v>106800</v>
          </cell>
        </row>
        <row r="551">
          <cell r="V551">
            <v>389292.79999999999</v>
          </cell>
        </row>
        <row r="552">
          <cell r="V552">
            <v>25500</v>
          </cell>
        </row>
        <row r="553">
          <cell r="V553">
            <v>50000</v>
          </cell>
        </row>
        <row r="554">
          <cell r="V554">
            <v>106030</v>
          </cell>
        </row>
        <row r="555">
          <cell r="V555">
            <v>0</v>
          </cell>
        </row>
        <row r="556">
          <cell r="V556">
            <v>24910</v>
          </cell>
        </row>
        <row r="591">
          <cell r="V591">
            <v>0</v>
          </cell>
        </row>
        <row r="595">
          <cell r="V595">
            <v>0</v>
          </cell>
        </row>
        <row r="596">
          <cell r="V596">
            <v>349855.35</v>
          </cell>
        </row>
        <row r="597">
          <cell r="V597">
            <v>0</v>
          </cell>
        </row>
        <row r="598">
          <cell r="V598">
            <v>143740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P_Form_No._1_Summary_All"/>
      <sheetName val="Sheet2"/>
      <sheetName val="Sheet3"/>
      <sheetName val="LBP_Form_No._1_Market"/>
      <sheetName val="LBP_Form_No._1_Slaughter"/>
      <sheetName val="LBP_Form_No._1_Choco"/>
      <sheetName val="LBP_Form_No._1_General_Fund_Fin"/>
      <sheetName val="LBP_Form_No._1_General_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1">
          <cell r="G121">
            <v>83618680.419999987</v>
          </cell>
        </row>
        <row r="125">
          <cell r="G125">
            <v>18625813.620000001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MO(Misc.)"/>
      <sheetName val="SB(L)"/>
      <sheetName val="SB(S)"/>
      <sheetName val="MPDC"/>
      <sheetName val="LCR"/>
      <sheetName val="MBO"/>
      <sheetName val="Accounting"/>
      <sheetName val="MTO"/>
      <sheetName val="Assessor"/>
      <sheetName val="MHO"/>
      <sheetName val="MSWD"/>
      <sheetName val="Agri"/>
      <sheetName val="MEO"/>
      <sheetName val="MENRO"/>
      <sheetName val="LDRRM"/>
      <sheetName val="MRKT"/>
      <sheetName val="piwas"/>
      <sheetName val="CTR"/>
      <sheetName val="Summary_PS_2017"/>
      <sheetName val="CO"/>
      <sheetName val="MOOE_Overall_General_Fund"/>
      <sheetName val="PS_Summary_2_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8">
          <cell r="U8">
            <v>22876680</v>
          </cell>
        </row>
        <row r="14">
          <cell r="U14">
            <v>0</v>
          </cell>
        </row>
        <row r="85">
          <cell r="U85">
            <v>10785701.620000001</v>
          </cell>
        </row>
      </sheetData>
      <sheetData sheetId="20" refreshError="1">
        <row r="8">
          <cell r="U8">
            <v>1322000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8">
          <cell r="U18">
            <v>100000</v>
          </cell>
        </row>
        <row r="19">
          <cell r="U19">
            <v>250000</v>
          </cell>
        </row>
        <row r="46">
          <cell r="U46">
            <v>0</v>
          </cell>
        </row>
        <row r="55">
          <cell r="U55">
            <v>0</v>
          </cell>
        </row>
      </sheetData>
      <sheetData sheetId="21" refreshError="1">
        <row r="6">
          <cell r="V6">
            <v>965000</v>
          </cell>
        </row>
        <row r="7">
          <cell r="V7">
            <v>2300200</v>
          </cell>
        </row>
        <row r="8">
          <cell r="V8">
            <v>1131000</v>
          </cell>
        </row>
        <row r="9">
          <cell r="V9">
            <v>751090.16</v>
          </cell>
        </row>
        <row r="10">
          <cell r="V10">
            <v>2163600</v>
          </cell>
        </row>
        <row r="11">
          <cell r="V11">
            <v>248500</v>
          </cell>
        </row>
        <row r="12">
          <cell r="V12">
            <v>61000</v>
          </cell>
        </row>
        <row r="13">
          <cell r="V13">
            <v>0</v>
          </cell>
        </row>
        <row r="14">
          <cell r="V14">
            <v>200000</v>
          </cell>
        </row>
        <row r="15">
          <cell r="V15">
            <v>250000</v>
          </cell>
        </row>
        <row r="16">
          <cell r="V16">
            <v>50000</v>
          </cell>
        </row>
        <row r="17">
          <cell r="V17">
            <v>30000</v>
          </cell>
        </row>
        <row r="18">
          <cell r="V18">
            <v>30000</v>
          </cell>
        </row>
        <row r="19">
          <cell r="V19">
            <v>50000</v>
          </cell>
        </row>
        <row r="20">
          <cell r="V20">
            <v>0</v>
          </cell>
        </row>
        <row r="21">
          <cell r="V21">
            <v>50000</v>
          </cell>
        </row>
        <row r="22">
          <cell r="V22">
            <v>10000</v>
          </cell>
        </row>
        <row r="23">
          <cell r="V23">
            <v>210000</v>
          </cell>
        </row>
        <row r="24">
          <cell r="V24">
            <v>300000</v>
          </cell>
        </row>
        <row r="25">
          <cell r="V25">
            <v>35000</v>
          </cell>
        </row>
        <row r="26">
          <cell r="V26">
            <v>40000</v>
          </cell>
        </row>
        <row r="27">
          <cell r="V27">
            <v>0</v>
          </cell>
        </row>
        <row r="28">
          <cell r="V28">
            <v>50000</v>
          </cell>
        </row>
        <row r="29">
          <cell r="V29">
            <v>14000</v>
          </cell>
        </row>
        <row r="30">
          <cell r="V30">
            <v>150000</v>
          </cell>
        </row>
        <row r="40">
          <cell r="V40">
            <v>0</v>
          </cell>
        </row>
        <row r="43">
          <cell r="V43">
            <v>0</v>
          </cell>
        </row>
        <row r="46">
          <cell r="V46">
            <v>55948.75</v>
          </cell>
        </row>
        <row r="47">
          <cell r="V47">
            <v>0</v>
          </cell>
        </row>
        <row r="48">
          <cell r="V48">
            <v>450000</v>
          </cell>
        </row>
        <row r="49">
          <cell r="V49">
            <v>300000</v>
          </cell>
        </row>
        <row r="50">
          <cell r="V50">
            <v>450000</v>
          </cell>
        </row>
        <row r="53">
          <cell r="V53">
            <v>5000</v>
          </cell>
        </row>
        <row r="54">
          <cell r="V54">
            <v>40000</v>
          </cell>
        </row>
        <row r="55">
          <cell r="V55">
            <v>24000</v>
          </cell>
        </row>
        <row r="56">
          <cell r="V56">
            <v>0</v>
          </cell>
        </row>
        <row r="57">
          <cell r="V57">
            <v>0</v>
          </cell>
        </row>
        <row r="63">
          <cell r="V63">
            <v>1000</v>
          </cell>
        </row>
        <row r="64">
          <cell r="V64">
            <v>8000</v>
          </cell>
        </row>
        <row r="67">
          <cell r="V67">
            <v>54000</v>
          </cell>
        </row>
        <row r="68">
          <cell r="V68">
            <v>0</v>
          </cell>
        </row>
        <row r="85">
          <cell r="V85">
            <v>50000</v>
          </cell>
        </row>
        <row r="86">
          <cell r="V86">
            <v>0</v>
          </cell>
        </row>
        <row r="87">
          <cell r="V87">
            <v>15000</v>
          </cell>
        </row>
        <row r="88">
          <cell r="V88">
            <v>15000</v>
          </cell>
        </row>
        <row r="89">
          <cell r="V89">
            <v>15000</v>
          </cell>
        </row>
        <row r="91">
          <cell r="V91">
            <v>100000</v>
          </cell>
        </row>
        <row r="93">
          <cell r="V93">
            <v>385000</v>
          </cell>
        </row>
        <row r="94">
          <cell r="V94">
            <v>285000</v>
          </cell>
        </row>
        <row r="98">
          <cell r="V98">
            <v>65000</v>
          </cell>
        </row>
        <row r="100">
          <cell r="V100">
            <v>600000</v>
          </cell>
        </row>
        <row r="101">
          <cell r="V101">
            <v>380000</v>
          </cell>
        </row>
        <row r="102">
          <cell r="V102">
            <v>150000</v>
          </cell>
        </row>
        <row r="103">
          <cell r="V103">
            <v>100800</v>
          </cell>
        </row>
        <row r="104">
          <cell r="V104">
            <v>72000</v>
          </cell>
        </row>
        <row r="107">
          <cell r="V107">
            <v>15000</v>
          </cell>
        </row>
        <row r="108">
          <cell r="V108">
            <v>15000</v>
          </cell>
        </row>
        <row r="111">
          <cell r="V111">
            <v>50000</v>
          </cell>
        </row>
        <row r="112">
          <cell r="V112">
            <v>50000</v>
          </cell>
        </row>
        <row r="113">
          <cell r="V113">
            <v>225000</v>
          </cell>
        </row>
        <row r="114">
          <cell r="V114">
            <v>50000</v>
          </cell>
        </row>
        <row r="115">
          <cell r="V115">
            <v>70000</v>
          </cell>
        </row>
        <row r="141">
          <cell r="V141">
            <v>0</v>
          </cell>
        </row>
        <row r="142">
          <cell r="V142">
            <v>0</v>
          </cell>
        </row>
        <row r="145">
          <cell r="V145">
            <v>0</v>
          </cell>
        </row>
        <row r="150">
          <cell r="V150">
            <v>0</v>
          </cell>
        </row>
        <row r="151">
          <cell r="V151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9">
          <cell r="V159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5000</v>
          </cell>
        </row>
        <row r="177">
          <cell r="V177">
            <v>0</v>
          </cell>
        </row>
        <row r="183">
          <cell r="V183">
            <v>0</v>
          </cell>
        </row>
        <row r="184">
          <cell r="V184">
            <v>0</v>
          </cell>
        </row>
        <row r="186">
          <cell r="V186">
            <v>0</v>
          </cell>
        </row>
        <row r="189">
          <cell r="V189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3">
          <cell r="V203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8">
          <cell r="V218">
            <v>0</v>
          </cell>
        </row>
        <row r="222">
          <cell r="V222">
            <v>0</v>
          </cell>
        </row>
        <row r="227">
          <cell r="V227">
            <v>0</v>
          </cell>
        </row>
        <row r="228">
          <cell r="V228">
            <v>0</v>
          </cell>
        </row>
        <row r="232">
          <cell r="V232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9">
          <cell r="V249">
            <v>25200</v>
          </cell>
        </row>
        <row r="277">
          <cell r="A277" t="str">
            <v xml:space="preserve">       Aid to Sports (transferred to LBP form 2A)</v>
          </cell>
        </row>
        <row r="318">
          <cell r="A318" t="str">
            <v xml:space="preserve">       Special DSWD Programs / Projects (0SCA)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4">
          <cell r="V324">
            <v>0</v>
          </cell>
        </row>
        <row r="337">
          <cell r="V337">
            <v>0</v>
          </cell>
        </row>
        <row r="343">
          <cell r="V343">
            <v>0</v>
          </cell>
        </row>
        <row r="344">
          <cell r="V344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7">
          <cell r="V367">
            <v>0</v>
          </cell>
        </row>
        <row r="368">
          <cell r="V368">
            <v>0</v>
          </cell>
        </row>
        <row r="373">
          <cell r="V373">
            <v>0</v>
          </cell>
        </row>
        <row r="374">
          <cell r="V374">
            <v>0</v>
          </cell>
        </row>
        <row r="377">
          <cell r="V377">
            <v>0</v>
          </cell>
        </row>
        <row r="381">
          <cell r="V381">
            <v>0</v>
          </cell>
        </row>
        <row r="387">
          <cell r="V387">
            <v>0</v>
          </cell>
        </row>
        <row r="388">
          <cell r="V388">
            <v>0</v>
          </cell>
        </row>
        <row r="392">
          <cell r="V392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8">
          <cell r="V408">
            <v>0</v>
          </cell>
        </row>
        <row r="418">
          <cell r="V418">
            <v>0</v>
          </cell>
        </row>
        <row r="424">
          <cell r="V424">
            <v>0</v>
          </cell>
        </row>
        <row r="426">
          <cell r="V426">
            <v>0</v>
          </cell>
        </row>
        <row r="428">
          <cell r="V428">
            <v>0</v>
          </cell>
        </row>
        <row r="433">
          <cell r="V433">
            <v>0</v>
          </cell>
        </row>
        <row r="434">
          <cell r="V434">
            <v>0</v>
          </cell>
        </row>
        <row r="436">
          <cell r="V436">
            <v>0</v>
          </cell>
        </row>
        <row r="461">
          <cell r="V461">
            <v>0</v>
          </cell>
        </row>
        <row r="462">
          <cell r="V462">
            <v>0</v>
          </cell>
        </row>
        <row r="465">
          <cell r="V465">
            <v>0</v>
          </cell>
        </row>
        <row r="467">
          <cell r="V467">
            <v>0</v>
          </cell>
        </row>
        <row r="477">
          <cell r="V477">
            <v>0</v>
          </cell>
        </row>
        <row r="480">
          <cell r="V480">
            <v>0</v>
          </cell>
        </row>
        <row r="482">
          <cell r="V482">
            <v>0</v>
          </cell>
        </row>
        <row r="485">
          <cell r="V485">
            <v>0</v>
          </cell>
        </row>
        <row r="497">
          <cell r="V497">
            <v>0</v>
          </cell>
        </row>
        <row r="503">
          <cell r="V503">
            <v>0</v>
          </cell>
        </row>
        <row r="504">
          <cell r="V504">
            <v>0</v>
          </cell>
        </row>
        <row r="505">
          <cell r="V505">
            <v>0</v>
          </cell>
        </row>
        <row r="506">
          <cell r="V506">
            <v>0</v>
          </cell>
        </row>
        <row r="507">
          <cell r="V507">
            <v>0</v>
          </cell>
        </row>
        <row r="510">
          <cell r="V510">
            <v>0</v>
          </cell>
        </row>
        <row r="512">
          <cell r="V512">
            <v>0</v>
          </cell>
        </row>
        <row r="513">
          <cell r="V513">
            <v>0</v>
          </cell>
        </row>
        <row r="514">
          <cell r="V514">
            <v>0</v>
          </cell>
        </row>
        <row r="515">
          <cell r="V515">
            <v>0</v>
          </cell>
        </row>
        <row r="516">
          <cell r="V516">
            <v>0</v>
          </cell>
        </row>
        <row r="519">
          <cell r="V519">
            <v>0</v>
          </cell>
        </row>
        <row r="522">
          <cell r="V522">
            <v>0</v>
          </cell>
        </row>
        <row r="523">
          <cell r="V523">
            <v>0</v>
          </cell>
        </row>
        <row r="524">
          <cell r="V524">
            <v>0</v>
          </cell>
        </row>
        <row r="527">
          <cell r="V527">
            <v>0</v>
          </cell>
        </row>
        <row r="529">
          <cell r="V529">
            <v>0</v>
          </cell>
        </row>
        <row r="538">
          <cell r="V538">
            <v>0</v>
          </cell>
        </row>
        <row r="548">
          <cell r="V548">
            <v>0</v>
          </cell>
        </row>
        <row r="558">
          <cell r="V558">
            <v>0</v>
          </cell>
        </row>
        <row r="559">
          <cell r="V559">
            <v>0</v>
          </cell>
        </row>
        <row r="560">
          <cell r="V560">
            <v>0</v>
          </cell>
        </row>
        <row r="561">
          <cell r="V561">
            <v>0</v>
          </cell>
        </row>
        <row r="562">
          <cell r="V562">
            <v>0</v>
          </cell>
        </row>
        <row r="563">
          <cell r="V563">
            <v>0</v>
          </cell>
        </row>
        <row r="583">
          <cell r="V583">
            <v>0</v>
          </cell>
        </row>
        <row r="594">
          <cell r="V594">
            <v>0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MO(Misc.)"/>
      <sheetName val="SB(L)"/>
      <sheetName val="SB(S)"/>
      <sheetName val="MPDC"/>
      <sheetName val="LCR"/>
      <sheetName val="MBO"/>
      <sheetName val="Accounting"/>
      <sheetName val="MTO"/>
      <sheetName val="Assessor"/>
      <sheetName val="MHO"/>
      <sheetName val="MSWD"/>
      <sheetName val="Agri"/>
      <sheetName val="MEO"/>
      <sheetName val="MENRO"/>
      <sheetName val="LDRRM"/>
      <sheetName val="MRKT"/>
      <sheetName val="piwas"/>
      <sheetName val="CTR"/>
      <sheetName val="Summary_PS_2017"/>
      <sheetName val="CO"/>
      <sheetName val="MOOE_Overall_General_Fund"/>
      <sheetName val="PS_Summary_2_2017"/>
    </sheetNames>
    <sheetDataSet>
      <sheetData sheetId="0" refreshError="1"/>
      <sheetData sheetId="1" refreshError="1">
        <row r="50">
          <cell r="G50">
            <v>250800</v>
          </cell>
        </row>
        <row r="62">
          <cell r="G62">
            <v>122000</v>
          </cell>
        </row>
        <row r="64">
          <cell r="G64">
            <v>1000000</v>
          </cell>
        </row>
        <row r="74">
          <cell r="G74">
            <v>203079.21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E5">
            <v>4988548.75</v>
          </cell>
        </row>
        <row r="6">
          <cell r="D6">
            <v>1900000</v>
          </cell>
        </row>
        <row r="17">
          <cell r="E17">
            <v>20113319.359999999</v>
          </cell>
        </row>
        <row r="18">
          <cell r="E18">
            <v>4992737.49</v>
          </cell>
        </row>
        <row r="38">
          <cell r="D38">
            <v>3845079.21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%"/>
      <sheetName val="5%"/>
      <sheetName val="SB"/>
      <sheetName val="mpdc2018"/>
      <sheetName val="MPDC (2)"/>
      <sheetName val="ASSESS"/>
      <sheetName val="mswdo"/>
      <sheetName val="AGRI"/>
      <sheetName val="MENRO"/>
      <sheetName val="summary"/>
      <sheetName val="Sheet5"/>
    </sheetNames>
    <sheetDataSet>
      <sheetData sheetId="0" refreshError="1"/>
      <sheetData sheetId="1" refreshError="1">
        <row r="31">
          <cell r="D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2">
          <cell r="F32" t="e">
            <v>#REF!</v>
          </cell>
        </row>
      </sheetData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%"/>
      <sheetName val="5%"/>
      <sheetName val="SB"/>
      <sheetName val="MPDC"/>
      <sheetName val="mpdc2018"/>
      <sheetName val="MPDC (2)"/>
      <sheetName val="ASSESS"/>
      <sheetName val="mswdo"/>
      <sheetName val="AGRI"/>
      <sheetName val="MENRO"/>
      <sheetName val="summary"/>
      <sheetName val="Sheet5"/>
    </sheetNames>
    <sheetDataSet>
      <sheetData sheetId="0" refreshError="1">
        <row r="45">
          <cell r="I45">
            <v>12510747.99</v>
          </cell>
        </row>
      </sheetData>
      <sheetData sheetId="1" refreshError="1">
        <row r="28">
          <cell r="I28">
            <v>3251310.1399999997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">
          <cell r="F22">
            <v>7465703.4399999995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pop_AB"/>
      <sheetName val="lep-1-gf"/>
      <sheetName val="lep-1-m"/>
      <sheetName val="lEp_1_w"/>
      <sheetName val="besf-1"/>
      <sheetName val="besf_2"/>
      <sheetName val="besf_3"/>
      <sheetName val="besf_4"/>
      <sheetName val="staffing and comp. profile"/>
      <sheetName val="besf_5"/>
      <sheetName val="besf_6"/>
      <sheetName val="lbp_1"/>
      <sheetName val="lbp_1_m"/>
      <sheetName val="lbp_1_w"/>
      <sheetName val="lbp_2"/>
      <sheetName val="lbp_3a"/>
      <sheetName val="presentation-2013"/>
      <sheetName val="lbp_3"/>
      <sheetName val="noe all office"/>
      <sheetName val="lbp_4"/>
      <sheetName val="ps_sum"/>
      <sheetName val="ctrl"/>
      <sheetName val="INCOME2017"/>
      <sheetName val="new-position"/>
      <sheetName val="55%L"/>
      <sheetName val="plantilla"/>
      <sheetName val="position-10-29-12"/>
      <sheetName val="position-11-19-12 (2)"/>
      <sheetName val="position-11-21-12"/>
      <sheetName val="3rd"/>
      <sheetName val="lbp_6"/>
      <sheetName val="lbp_7"/>
      <sheetName val="lbp_8_gf"/>
      <sheetName val="lbp_8_w"/>
      <sheetName val="lbp_8_m"/>
      <sheetName val="mooe-co-noe"/>
      <sheetName val="ctrl-draft-10-23-12"/>
      <sheetName val="3rd class ps"/>
      <sheetName val="gen-AIP"/>
      <sheetName val="noe-mo_'17"/>
      <sheetName val="20%_'15"/>
      <sheetName val="5%"/>
      <sheetName val="etc."/>
      <sheetName val="ctrl_3RD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68">
          <cell r="O968">
            <v>200000</v>
          </cell>
        </row>
      </sheetData>
      <sheetData sheetId="21">
        <row r="30">
          <cell r="C30">
            <v>3730240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opLeftCell="A209" workbookViewId="0">
      <selection activeCell="C227" sqref="C227"/>
    </sheetView>
  </sheetViews>
  <sheetFormatPr defaultRowHeight="15" x14ac:dyDescent="0.25"/>
  <cols>
    <col min="1" max="1" width="43.85546875" style="107" customWidth="1"/>
    <col min="2" max="2" width="15" style="106" customWidth="1"/>
    <col min="3" max="3" width="11.7109375" style="483" customWidth="1"/>
    <col min="4" max="4" width="15.5703125" style="106" customWidth="1"/>
    <col min="5" max="5" width="16.5703125" style="106" hidden="1" customWidth="1"/>
    <col min="6" max="6" width="18" style="106" hidden="1" customWidth="1"/>
    <col min="7" max="7" width="16.85546875" style="106" customWidth="1"/>
    <col min="8" max="8" width="17.5703125" style="106" customWidth="1"/>
    <col min="9" max="9" width="16.5703125" style="106" customWidth="1"/>
    <col min="10" max="10" width="14.28515625" style="106" bestFit="1" customWidth="1"/>
    <col min="11" max="16384" width="9.140625" style="106"/>
  </cols>
  <sheetData>
    <row r="1" spans="1:9" x14ac:dyDescent="0.25">
      <c r="A1" s="107" t="s">
        <v>651</v>
      </c>
      <c r="H1" s="484"/>
    </row>
    <row r="2" spans="1:9" x14ac:dyDescent="0.25">
      <c r="A2" s="107" t="s">
        <v>652</v>
      </c>
    </row>
    <row r="3" spans="1:9" x14ac:dyDescent="0.25">
      <c r="A3" s="571"/>
      <c r="B3" s="571"/>
      <c r="C3" s="571"/>
      <c r="D3" s="571"/>
      <c r="E3" s="571"/>
      <c r="F3" s="571"/>
      <c r="G3" s="571"/>
      <c r="H3" s="571"/>
      <c r="I3" s="571"/>
    </row>
    <row r="4" spans="1:9" x14ac:dyDescent="0.25">
      <c r="A4" s="571"/>
      <c r="B4" s="571"/>
      <c r="C4" s="571"/>
      <c r="D4" s="571"/>
      <c r="E4" s="571"/>
      <c r="F4" s="571"/>
      <c r="G4" s="571"/>
      <c r="H4" s="571"/>
    </row>
    <row r="5" spans="1:9" x14ac:dyDescent="0.25">
      <c r="A5" s="572"/>
      <c r="B5" s="572"/>
      <c r="C5" s="572"/>
      <c r="D5" s="572"/>
      <c r="E5" s="572"/>
      <c r="F5" s="572"/>
      <c r="G5" s="572"/>
      <c r="H5" s="572"/>
      <c r="I5" s="572"/>
    </row>
    <row r="6" spans="1:9" ht="23.25" x14ac:dyDescent="0.25">
      <c r="A6" s="485" t="s">
        <v>10</v>
      </c>
      <c r="B6" s="486"/>
      <c r="C6" s="486"/>
      <c r="D6" s="486"/>
      <c r="E6" s="486"/>
      <c r="F6" s="486"/>
      <c r="G6" s="486"/>
      <c r="H6" s="486"/>
    </row>
    <row r="7" spans="1:9" ht="23.25" x14ac:dyDescent="0.25">
      <c r="A7" s="573" t="s">
        <v>653</v>
      </c>
      <c r="B7" s="573"/>
      <c r="C7" s="573"/>
      <c r="D7" s="573"/>
      <c r="E7" s="573"/>
      <c r="F7" s="573"/>
      <c r="G7" s="573"/>
      <c r="H7" s="573"/>
    </row>
    <row r="8" spans="1:9" ht="18.75" x14ac:dyDescent="0.3">
      <c r="A8" s="574" t="s">
        <v>654</v>
      </c>
      <c r="B8" s="574"/>
      <c r="C8" s="574"/>
      <c r="D8" s="574"/>
      <c r="E8" s="574"/>
      <c r="F8" s="574"/>
      <c r="G8" s="574"/>
      <c r="H8" s="574"/>
    </row>
    <row r="9" spans="1:9" x14ac:dyDescent="0.25">
      <c r="A9" s="570"/>
      <c r="B9" s="570"/>
      <c r="C9" s="570"/>
      <c r="D9" s="570"/>
      <c r="E9" s="570"/>
      <c r="F9" s="570"/>
      <c r="G9" s="570"/>
      <c r="H9" s="570"/>
    </row>
    <row r="10" spans="1:9" x14ac:dyDescent="0.25">
      <c r="A10" s="487"/>
      <c r="B10" s="488"/>
    </row>
    <row r="11" spans="1:9" x14ac:dyDescent="0.25">
      <c r="A11" s="562" t="s">
        <v>655</v>
      </c>
      <c r="B11" s="482"/>
      <c r="C11" s="564" t="s">
        <v>1</v>
      </c>
      <c r="D11" s="108" t="s">
        <v>2</v>
      </c>
      <c r="E11" s="562" t="s">
        <v>656</v>
      </c>
      <c r="F11" s="566"/>
      <c r="G11" s="567"/>
      <c r="H11" s="568" t="s">
        <v>657</v>
      </c>
    </row>
    <row r="12" spans="1:9" x14ac:dyDescent="0.25">
      <c r="A12" s="563"/>
      <c r="B12" s="489"/>
      <c r="C12" s="565"/>
      <c r="D12" s="109" t="s">
        <v>4</v>
      </c>
      <c r="E12" s="568" t="s">
        <v>658</v>
      </c>
      <c r="F12" s="568" t="s">
        <v>659</v>
      </c>
      <c r="G12" s="109" t="s">
        <v>7</v>
      </c>
      <c r="H12" s="569"/>
    </row>
    <row r="13" spans="1:9" x14ac:dyDescent="0.25">
      <c r="A13" s="481"/>
      <c r="B13" s="489"/>
      <c r="C13" s="489"/>
      <c r="D13" s="490">
        <v>-2016</v>
      </c>
      <c r="E13" s="569"/>
      <c r="F13" s="569"/>
      <c r="G13" s="490">
        <v>-2017</v>
      </c>
      <c r="H13" s="490">
        <v>-2018</v>
      </c>
    </row>
    <row r="14" spans="1:9" x14ac:dyDescent="0.25">
      <c r="A14" s="491">
        <v>1</v>
      </c>
      <c r="B14" s="492"/>
      <c r="C14" s="493">
        <v>2</v>
      </c>
      <c r="D14" s="493">
        <v>3</v>
      </c>
      <c r="E14" s="493">
        <v>4</v>
      </c>
      <c r="F14" s="493">
        <v>5</v>
      </c>
      <c r="G14" s="493">
        <v>6</v>
      </c>
      <c r="H14" s="493">
        <v>7</v>
      </c>
    </row>
    <row r="15" spans="1:9" x14ac:dyDescent="0.25">
      <c r="A15" s="487" t="s">
        <v>660</v>
      </c>
      <c r="B15" s="494"/>
      <c r="C15" s="495"/>
      <c r="D15" s="496"/>
      <c r="E15" s="496"/>
      <c r="F15" s="496"/>
      <c r="G15" s="496"/>
      <c r="H15" s="496"/>
    </row>
    <row r="16" spans="1:9" x14ac:dyDescent="0.25">
      <c r="A16" s="107" t="s">
        <v>661</v>
      </c>
      <c r="B16" s="497"/>
      <c r="C16" s="495"/>
      <c r="D16" s="496"/>
      <c r="E16" s="496"/>
      <c r="F16" s="496"/>
      <c r="G16" s="496"/>
      <c r="H16" s="496"/>
    </row>
    <row r="17" spans="1:8" x14ac:dyDescent="0.25">
      <c r="A17" s="498" t="s">
        <v>56</v>
      </c>
      <c r="B17" s="498"/>
      <c r="C17" s="38">
        <v>50101010</v>
      </c>
      <c r="D17" s="496">
        <f>[1]Summary_PS_2017!$U$34</f>
        <v>16861110.620000001</v>
      </c>
      <c r="E17" s="496">
        <f>[1]Summary_PS_2017!$U$59</f>
        <v>13080823.800000001</v>
      </c>
      <c r="F17" s="496">
        <f>[1]Summary_PS_2017!$U$85</f>
        <v>4157579.4800000009</v>
      </c>
      <c r="G17" s="496">
        <f>SUM(E17:F17)</f>
        <v>17238403.280000001</v>
      </c>
      <c r="H17" s="496">
        <f>[1]Summary_PS_2017!$U$8</f>
        <v>26275104</v>
      </c>
    </row>
    <row r="18" spans="1:8" x14ac:dyDescent="0.25">
      <c r="A18" s="498" t="s">
        <v>98</v>
      </c>
      <c r="B18" s="498"/>
      <c r="C18" s="52">
        <v>50101</v>
      </c>
      <c r="D18" s="496">
        <f>[1]Summary_PS_2017!$U$35</f>
        <v>67000</v>
      </c>
      <c r="E18" s="496">
        <f>[1]Summary_PS_2017!$U$60</f>
        <v>186290</v>
      </c>
      <c r="F18" s="496">
        <f>[1]Summary_PS_2017!$U$86</f>
        <v>1548879.4</v>
      </c>
      <c r="G18" s="496">
        <f t="shared" ref="G18:G36" si="0">SUM(E18:F18)</f>
        <v>1735169.4</v>
      </c>
      <c r="H18" s="496">
        <f>[1]Summary_PS_2017!$U$9</f>
        <v>1595840</v>
      </c>
    </row>
    <row r="19" spans="1:8" x14ac:dyDescent="0.25">
      <c r="A19" s="499" t="s">
        <v>52</v>
      </c>
      <c r="B19" s="499"/>
      <c r="C19" s="52">
        <v>50102020</v>
      </c>
      <c r="D19" s="496">
        <f>[1]Summary_PS_2017!$U$36</f>
        <v>1484666.67</v>
      </c>
      <c r="E19" s="496">
        <f>[1]Summary_PS_2017!$U$61</f>
        <v>1222436.6299999999</v>
      </c>
      <c r="F19" s="496">
        <f>[1]Summary_PS_2017!$U$87</f>
        <v>385081.81000000006</v>
      </c>
      <c r="G19" s="496">
        <f t="shared" si="0"/>
        <v>1607518.44</v>
      </c>
      <c r="H19" s="496">
        <f>[1]Summary_PS_2017!$U$10</f>
        <v>1992000</v>
      </c>
    </row>
    <row r="20" spans="1:8" x14ac:dyDescent="0.25">
      <c r="A20" s="499" t="s">
        <v>51</v>
      </c>
      <c r="B20" s="499"/>
      <c r="C20" s="52">
        <v>50102030</v>
      </c>
      <c r="D20" s="496">
        <f>[1]Summary_PS_2017!$U$37</f>
        <v>1463451.085</v>
      </c>
      <c r="E20" s="496">
        <f>[1]Summary_PS_2017!$U$62</f>
        <v>33750</v>
      </c>
      <c r="F20" s="496">
        <f>[1]Summary_PS_2017!$U$88</f>
        <v>1406250</v>
      </c>
      <c r="G20" s="496">
        <f t="shared" si="0"/>
        <v>1440000</v>
      </c>
      <c r="H20" s="496">
        <f>[1]Summary_PS_2017!$U$11</f>
        <v>1686000</v>
      </c>
    </row>
    <row r="21" spans="1:8" x14ac:dyDescent="0.25">
      <c r="A21" s="499" t="s">
        <v>662</v>
      </c>
      <c r="B21" s="499"/>
      <c r="C21" s="52">
        <v>50102040</v>
      </c>
      <c r="D21" s="496">
        <f>[1]Summary_PS_2017!$U$38</f>
        <v>1463451.08</v>
      </c>
      <c r="E21" s="496">
        <f>[1]Summary_PS_2017!$U$63</f>
        <v>33750</v>
      </c>
      <c r="F21" s="496">
        <f>[1]Summary_PS_2017!$U$88</f>
        <v>1406250</v>
      </c>
      <c r="G21" s="496">
        <f t="shared" si="0"/>
        <v>1440000</v>
      </c>
      <c r="H21" s="496">
        <f>[1]Summary_PS_2017!$U$12</f>
        <v>1686000</v>
      </c>
    </row>
    <row r="22" spans="1:8" x14ac:dyDescent="0.25">
      <c r="A22" s="499" t="s">
        <v>48</v>
      </c>
      <c r="B22" s="499"/>
      <c r="C22" s="52">
        <v>50102080</v>
      </c>
      <c r="D22" s="496">
        <f>[2]LBP_Form_No._1_General_Fund_Fin!$G$125</f>
        <v>18625813.620000001</v>
      </c>
      <c r="E22" s="496"/>
      <c r="F22" s="496">
        <f>[3]Summary_PS_2017!$U$85</f>
        <v>10785701.620000001</v>
      </c>
      <c r="G22" s="496">
        <f t="shared" si="0"/>
        <v>10785701.620000001</v>
      </c>
      <c r="H22" s="496">
        <f>[1]Summary_PS_2017!$U$8</f>
        <v>26275104</v>
      </c>
    </row>
    <row r="23" spans="1:8" x14ac:dyDescent="0.25">
      <c r="A23" s="499" t="s">
        <v>49</v>
      </c>
      <c r="B23" s="499"/>
      <c r="C23" s="52">
        <v>50102150</v>
      </c>
      <c r="D23" s="496">
        <f>[1]Summary_PS_2017!$U$39</f>
        <v>355000</v>
      </c>
      <c r="E23" s="496"/>
      <c r="F23" s="496">
        <f>[1]Summary_PS_2017!$U$90</f>
        <v>350000</v>
      </c>
      <c r="G23" s="496">
        <f t="shared" si="0"/>
        <v>350000</v>
      </c>
      <c r="H23" s="496">
        <f>[1]Summary_PS_2017!$U$13</f>
        <v>410000</v>
      </c>
    </row>
    <row r="24" spans="1:8" x14ac:dyDescent="0.25">
      <c r="A24" s="499" t="s">
        <v>50</v>
      </c>
      <c r="B24" s="499"/>
      <c r="C24" s="52">
        <v>50102140</v>
      </c>
      <c r="D24" s="496">
        <v>0</v>
      </c>
      <c r="E24" s="496">
        <v>0</v>
      </c>
      <c r="F24" s="496"/>
      <c r="G24" s="496">
        <v>0</v>
      </c>
      <c r="H24" s="496">
        <f>[3]Summary_PS_2017!$U$14</f>
        <v>0</v>
      </c>
    </row>
    <row r="25" spans="1:8" x14ac:dyDescent="0.25">
      <c r="A25" s="499" t="s">
        <v>47</v>
      </c>
      <c r="B25" s="499"/>
      <c r="C25" s="52">
        <v>50102990</v>
      </c>
      <c r="D25" s="496">
        <f>[1]Summary_PS_2017!$U$41</f>
        <v>322500</v>
      </c>
      <c r="E25" s="496"/>
      <c r="F25" s="496">
        <f>[1]Summary_PS_2017!$U$92</f>
        <v>313000</v>
      </c>
      <c r="G25" s="496">
        <f t="shared" si="0"/>
        <v>313000</v>
      </c>
      <c r="H25" s="496">
        <f>[1]Summary_PS_2017!$U$15</f>
        <v>415000</v>
      </c>
    </row>
    <row r="26" spans="1:8" x14ac:dyDescent="0.25">
      <c r="A26" s="499" t="s">
        <v>46</v>
      </c>
      <c r="B26" s="499"/>
      <c r="C26" s="52">
        <v>50103010</v>
      </c>
      <c r="D26" s="496">
        <f>[1]Summary_PS_2017!$U$42</f>
        <v>1494999.02</v>
      </c>
      <c r="E26" s="496"/>
      <c r="F26" s="496">
        <f>[1]Summary_PS_2017!$U$93</f>
        <v>1602527.2</v>
      </c>
      <c r="G26" s="496">
        <f t="shared" si="0"/>
        <v>1602527.2</v>
      </c>
      <c r="H26" s="496">
        <f>[1]Summary_PS_2017!$U$16</f>
        <v>2196041</v>
      </c>
    </row>
    <row r="27" spans="1:8" x14ac:dyDescent="0.25">
      <c r="A27" s="499" t="s">
        <v>39</v>
      </c>
      <c r="B27" s="499"/>
      <c r="C27" s="52">
        <v>50103020</v>
      </c>
      <c r="D27" s="496">
        <f>[1]Summary_PS_2017!$U$43</f>
        <v>1398625.28</v>
      </c>
      <c r="E27" s="496"/>
      <c r="F27" s="496">
        <f>[1]Summary_PS_2017!$U$94</f>
        <v>1602008</v>
      </c>
      <c r="G27" s="496">
        <f t="shared" si="0"/>
        <v>1602008</v>
      </c>
      <c r="H27" s="496">
        <f>[1]Summary_PS_2017!$U$17</f>
        <v>2383396</v>
      </c>
    </row>
    <row r="28" spans="1:8" x14ac:dyDescent="0.25">
      <c r="A28" s="499" t="s">
        <v>40</v>
      </c>
      <c r="B28" s="499"/>
      <c r="C28" s="52">
        <v>50103030</v>
      </c>
      <c r="D28" s="496">
        <f>[1]Summary_PS_2017!$U$44</f>
        <v>2004914.2599999995</v>
      </c>
      <c r="E28" s="496">
        <f>[1]Summary_PS_2017!$U$69</f>
        <v>1242900.3600000001</v>
      </c>
      <c r="F28" s="496">
        <f>[1]Summary_PS_2017!$U$95</f>
        <v>495643.18</v>
      </c>
      <c r="G28" s="496">
        <f t="shared" si="0"/>
        <v>1738543.54</v>
      </c>
      <c r="H28" s="496">
        <f>[1]Summary_PS_2017!$U$18</f>
        <v>3114982.0799999996</v>
      </c>
    </row>
    <row r="29" spans="1:8" x14ac:dyDescent="0.25">
      <c r="A29" s="499" t="s">
        <v>41</v>
      </c>
      <c r="B29" s="499"/>
      <c r="C29" s="52">
        <v>50103040</v>
      </c>
      <c r="D29" s="496">
        <f>[1]Summary_PS_2017!$U$45</f>
        <v>76800</v>
      </c>
      <c r="E29" s="496">
        <f>[1]Summary_PS_2017!$U$70</f>
        <v>45000</v>
      </c>
      <c r="F29" s="496">
        <f>[1]Summary_PS_2017!$U$96</f>
        <v>16750</v>
      </c>
      <c r="G29" s="496">
        <f t="shared" si="0"/>
        <v>61750</v>
      </c>
      <c r="H29" s="496">
        <f>[1]Summary_PS_2017!$U$19</f>
        <v>98400</v>
      </c>
    </row>
    <row r="30" spans="1:8" x14ac:dyDescent="0.25">
      <c r="A30" s="499" t="s">
        <v>42</v>
      </c>
      <c r="B30" s="499"/>
      <c r="C30" s="29">
        <v>50104990</v>
      </c>
      <c r="D30" s="496">
        <f>[1]Summary_PS_2017!$U$46</f>
        <v>176537.5</v>
      </c>
      <c r="E30" s="496">
        <f>[1]Summary_PS_2017!$U$71</f>
        <v>155662.5</v>
      </c>
      <c r="F30" s="496">
        <f>[1]Summary_PS_2017!$U$97</f>
        <v>34844.68</v>
      </c>
      <c r="G30" s="496">
        <f t="shared" si="0"/>
        <v>190507.18</v>
      </c>
      <c r="H30" s="496">
        <f>[1]Summary_PS_2017!$U$20</f>
        <v>217200</v>
      </c>
    </row>
    <row r="31" spans="1:8" x14ac:dyDescent="0.25">
      <c r="A31" s="499" t="s">
        <v>43</v>
      </c>
      <c r="B31" s="499"/>
      <c r="C31" s="52">
        <v>50102990</v>
      </c>
      <c r="D31" s="496">
        <f>[1]Summary_PS_2017!$U$47</f>
        <v>71025.489999999991</v>
      </c>
      <c r="E31" s="496">
        <f>[1]Summary_PS_2017!$U$72</f>
        <v>41537.210000000006</v>
      </c>
      <c r="F31" s="496">
        <f>[1]Summary_PS_2017!$U$98</f>
        <v>29820.230000000003</v>
      </c>
      <c r="G31" s="496">
        <f t="shared" si="0"/>
        <v>71357.440000000002</v>
      </c>
      <c r="H31" s="496">
        <f>[1]Summary_PS_2017!$U$21</f>
        <v>251740.80000000002</v>
      </c>
    </row>
    <row r="32" spans="1:8" x14ac:dyDescent="0.25">
      <c r="A32" s="499" t="s">
        <v>44</v>
      </c>
      <c r="B32" s="499"/>
      <c r="C32" s="52">
        <v>50102050</v>
      </c>
      <c r="D32" s="496">
        <f>[1]Summary_PS_2017!$U$48</f>
        <v>2256688.6899999995</v>
      </c>
      <c r="E32" s="496"/>
      <c r="F32" s="496">
        <f>[1]Summary_PS_2017!$U$99</f>
        <v>1238826.1599999999</v>
      </c>
      <c r="G32" s="496">
        <f t="shared" si="0"/>
        <v>1238826.1599999999</v>
      </c>
      <c r="H32" s="496">
        <f>[1]Summary_PS_2017!$U$22+3</f>
        <v>2022382.68071</v>
      </c>
    </row>
    <row r="33" spans="1:10" x14ac:dyDescent="0.25">
      <c r="A33" s="499" t="s">
        <v>45</v>
      </c>
      <c r="B33" s="499"/>
      <c r="C33" s="52">
        <v>50102110</v>
      </c>
      <c r="D33" s="496">
        <f>[1]Summary_PS_2017!$U$49</f>
        <v>1242850.3599999999</v>
      </c>
      <c r="E33" s="496"/>
      <c r="F33" s="496">
        <f>[1]Summary_PS_2017!$U$100</f>
        <v>467924.82</v>
      </c>
      <c r="G33" s="496">
        <f t="shared" si="0"/>
        <v>467924.82</v>
      </c>
      <c r="H33" s="496">
        <f>[1]Summary_PS_2017!$U$23</f>
        <v>405003</v>
      </c>
    </row>
    <row r="34" spans="1:10" x14ac:dyDescent="0.25">
      <c r="A34" s="499" t="s">
        <v>129</v>
      </c>
      <c r="B34" s="499"/>
      <c r="C34" s="29">
        <v>50104990</v>
      </c>
      <c r="D34" s="496">
        <f>[1]Summary_PS_2017!$U$50</f>
        <v>893788.95000000007</v>
      </c>
      <c r="E34" s="496">
        <f>[1]Summary_PS_2017!$U$75</f>
        <v>181105</v>
      </c>
      <c r="F34" s="496">
        <f>[1]Summary_PS_2017!$U$101</f>
        <v>353472.25</v>
      </c>
      <c r="G34" s="496">
        <f t="shared" si="0"/>
        <v>534577.25</v>
      </c>
      <c r="H34" s="496">
        <f>[1]Summary_PS_2017!$U$24</f>
        <v>307033.16000000003</v>
      </c>
      <c r="I34" s="500"/>
    </row>
    <row r="35" spans="1:10" x14ac:dyDescent="0.25">
      <c r="A35" s="499" t="s">
        <v>66</v>
      </c>
      <c r="B35" s="499"/>
      <c r="C35" s="52">
        <v>50102990</v>
      </c>
      <c r="D35" s="496">
        <f>[1]Summary_PS_2017!$U$52</f>
        <v>2154508.61</v>
      </c>
      <c r="E35" s="496">
        <f>[1]Summary_PS_2017!$U$76</f>
        <v>19549.89</v>
      </c>
      <c r="F35" s="496"/>
      <c r="G35" s="496">
        <f t="shared" si="0"/>
        <v>19549.89</v>
      </c>
      <c r="H35" s="496">
        <f>[1]Summary_PS_2017!$U$25</f>
        <v>655044</v>
      </c>
    </row>
    <row r="36" spans="1:10" x14ac:dyDescent="0.25">
      <c r="A36" s="499" t="s">
        <v>99</v>
      </c>
      <c r="B36" s="499"/>
      <c r="C36" s="52">
        <v>50102050</v>
      </c>
      <c r="D36" s="496"/>
      <c r="E36" s="496"/>
      <c r="F36" s="496">
        <f>[1]Summary_PS_2017!$U$103</f>
        <v>200000</v>
      </c>
      <c r="G36" s="496">
        <f t="shared" si="0"/>
        <v>200000</v>
      </c>
      <c r="H36" s="496"/>
    </row>
    <row r="37" spans="1:10" x14ac:dyDescent="0.25">
      <c r="A37" s="487" t="s">
        <v>663</v>
      </c>
      <c r="B37" s="501"/>
      <c r="C37" s="56"/>
      <c r="D37" s="502">
        <v>33787917.619999997</v>
      </c>
      <c r="E37" s="502">
        <f>SUM(E17:E36)</f>
        <v>16242805.390000001</v>
      </c>
      <c r="F37" s="502">
        <f>[1]Summary_PS_2017!$U$104</f>
        <v>15608857.209999997</v>
      </c>
      <c r="G37" s="502">
        <f>G35+G34+G33+G32+G31+G30+G29+G28+G27+G26+G25+G23+G21+G20+G19+G18+G17</f>
        <v>31651662.600000001</v>
      </c>
      <c r="H37" s="502">
        <f>H17+H18+H19+H20+H21+H23+H24+H25+H26+H27+H28+H29+H30+H31+H32+H33+H34+H35</f>
        <v>45711166.720709994</v>
      </c>
      <c r="I37" s="135"/>
      <c r="J37" s="135"/>
    </row>
    <row r="38" spans="1:10" x14ac:dyDescent="0.25">
      <c r="A38" s="487" t="s">
        <v>664</v>
      </c>
      <c r="B38" s="503"/>
      <c r="C38" s="52"/>
      <c r="D38" s="504"/>
      <c r="E38" s="504"/>
      <c r="F38" s="504"/>
      <c r="G38" s="504"/>
      <c r="H38" s="504"/>
    </row>
    <row r="39" spans="1:10" x14ac:dyDescent="0.25">
      <c r="A39" s="161" t="s">
        <v>17</v>
      </c>
      <c r="B39" s="161"/>
      <c r="C39" s="495"/>
      <c r="D39" s="496">
        <f>[1]MOOE_Overall_General_Fund!$V$126</f>
        <v>879350.7699999999</v>
      </c>
      <c r="E39" s="496">
        <f>[1]MOOE_Overall_General_Fund!$V$287</f>
        <v>338339.93000000005</v>
      </c>
      <c r="F39" s="496">
        <f>[1]MOOE_Overall_General_Fund!$V$447</f>
        <v>470127.04000000004</v>
      </c>
      <c r="G39" s="496">
        <f>SUM(E39:F39)</f>
        <v>808466.97000000009</v>
      </c>
      <c r="H39" s="496">
        <f>[3]MOOE_Overall_General_Fund!$V$6</f>
        <v>965000</v>
      </c>
    </row>
    <row r="40" spans="1:10" x14ac:dyDescent="0.25">
      <c r="A40" s="161" t="s">
        <v>18</v>
      </c>
      <c r="B40" s="161"/>
      <c r="C40" s="495"/>
      <c r="D40" s="496">
        <f>[1]MOOE_Overall_General_Fund!$V$127</f>
        <v>2292191.42</v>
      </c>
      <c r="E40" s="496">
        <f>[1]MOOE_Overall_General_Fund!$V$288</f>
        <v>1697782.1700000002</v>
      </c>
      <c r="F40" s="496">
        <f>[1]MOOE_Overall_General_Fund!$V$448</f>
        <v>2212722.06</v>
      </c>
      <c r="G40" s="496">
        <f t="shared" ref="G40:G103" si="1">SUM(E40:F40)</f>
        <v>3910504.2300000004</v>
      </c>
      <c r="H40" s="496">
        <f>[3]MOOE_Overall_General_Fund!$V$7</f>
        <v>2300200</v>
      </c>
    </row>
    <row r="41" spans="1:10" x14ac:dyDescent="0.25">
      <c r="A41" s="161" t="s">
        <v>128</v>
      </c>
      <c r="B41" s="161"/>
      <c r="C41" s="495"/>
      <c r="D41" s="496">
        <f>[1]MOOE_Overall_General_Fund!$V$128</f>
        <v>736995.03</v>
      </c>
      <c r="E41" s="496">
        <f>[1]MOOE_Overall_General_Fund!$V$289</f>
        <v>290476.98</v>
      </c>
      <c r="F41" s="496">
        <f>[1]MOOE_Overall_General_Fund!$V$449</f>
        <v>298051.84999999998</v>
      </c>
      <c r="G41" s="496">
        <f t="shared" si="1"/>
        <v>588528.82999999996</v>
      </c>
      <c r="H41" s="496">
        <f>[3]MOOE_Overall_General_Fund!$V$8</f>
        <v>1131000</v>
      </c>
    </row>
    <row r="42" spans="1:10" x14ac:dyDescent="0.25">
      <c r="A42" s="161" t="s">
        <v>665</v>
      </c>
      <c r="B42" s="161"/>
      <c r="C42" s="495"/>
      <c r="D42" s="496">
        <f>[1]MOOE_Overall_General_Fund!$V$129</f>
        <v>522979.56000000006</v>
      </c>
      <c r="E42" s="496">
        <f>[1]MOOE_Overall_General_Fund!$V$290</f>
        <v>344972.61</v>
      </c>
      <c r="F42" s="496">
        <f>[1]MOOE_Overall_General_Fund!$V$450</f>
        <v>340131.21</v>
      </c>
      <c r="G42" s="496">
        <f t="shared" si="1"/>
        <v>685103.82000000007</v>
      </c>
      <c r="H42" s="496">
        <f>[3]MOOE_Overall_General_Fund!$V$9</f>
        <v>751090.16</v>
      </c>
    </row>
    <row r="43" spans="1:10" x14ac:dyDescent="0.25">
      <c r="A43" s="161" t="s">
        <v>21</v>
      </c>
      <c r="B43" s="161"/>
      <c r="C43" s="495"/>
      <c r="D43" s="496">
        <f>[1]MOOE_Overall_General_Fund!$V$130</f>
        <v>5373429.7300000004</v>
      </c>
      <c r="E43" s="496">
        <f>[1]MOOE_Overall_General_Fund!$V$291</f>
        <v>790203</v>
      </c>
      <c r="F43" s="496">
        <f>[1]MOOE_Overall_General_Fund!$V$451</f>
        <v>1129261.9300000002</v>
      </c>
      <c r="G43" s="496">
        <f t="shared" si="1"/>
        <v>1919464.9300000002</v>
      </c>
      <c r="H43" s="496">
        <f>[3]MOOE_Overall_General_Fund!$V$10</f>
        <v>2163600</v>
      </c>
    </row>
    <row r="44" spans="1:10" x14ac:dyDescent="0.25">
      <c r="A44" s="498" t="s">
        <v>31</v>
      </c>
      <c r="B44" s="498"/>
      <c r="C44" s="495"/>
      <c r="D44" s="496">
        <f>[1]MOOE_Overall_General_Fund!$V$131</f>
        <v>240862.59</v>
      </c>
      <c r="E44" s="496">
        <f>[1]MOOE_Overall_General_Fund!$V$292</f>
        <v>32637.84</v>
      </c>
      <c r="F44" s="496">
        <f>[1]MOOE_Overall_General_Fund!$V$452</f>
        <v>70961.41</v>
      </c>
      <c r="G44" s="496">
        <f t="shared" si="1"/>
        <v>103599.25</v>
      </c>
      <c r="H44" s="496">
        <f>[3]MOOE_Overall_General_Fund!$V$11</f>
        <v>248500</v>
      </c>
    </row>
    <row r="45" spans="1:10" x14ac:dyDescent="0.25">
      <c r="A45" s="498" t="s">
        <v>160</v>
      </c>
      <c r="B45" s="498"/>
      <c r="C45" s="495"/>
      <c r="D45" s="496">
        <f>[1]MOOE_Overall_General_Fund!$V$132</f>
        <v>44166.83</v>
      </c>
      <c r="E45" s="496">
        <f>[1]MOOE_Overall_General_Fund!$V$293</f>
        <v>0</v>
      </c>
      <c r="F45" s="496">
        <f>[1]MOOE_Overall_General_Fund!$V$453</f>
        <v>14312.5</v>
      </c>
      <c r="G45" s="496">
        <f t="shared" si="1"/>
        <v>14312.5</v>
      </c>
      <c r="H45" s="496">
        <f>[3]MOOE_Overall_General_Fund!$V$12</f>
        <v>61000</v>
      </c>
    </row>
    <row r="46" spans="1:10" x14ac:dyDescent="0.25">
      <c r="A46" s="161" t="s">
        <v>666</v>
      </c>
      <c r="B46" s="161"/>
      <c r="C46" s="495"/>
      <c r="D46" s="496">
        <f>[1]MOOE_Overall_General_Fund!$V$133</f>
        <v>0</v>
      </c>
      <c r="E46" s="496">
        <f>[1]MOOE_Overall_General_Fund!$V$294</f>
        <v>63975.040000000001</v>
      </c>
      <c r="F46" s="496">
        <f>[1]MOOE_Overall_General_Fund!$V$454</f>
        <v>33433.75</v>
      </c>
      <c r="G46" s="496">
        <f t="shared" si="1"/>
        <v>97408.790000000008</v>
      </c>
      <c r="H46" s="496">
        <f>[3]MOOE_Overall_General_Fund!$V$13</f>
        <v>0</v>
      </c>
    </row>
    <row r="47" spans="1:10" x14ac:dyDescent="0.25">
      <c r="A47" s="161" t="s">
        <v>667</v>
      </c>
      <c r="B47" s="161"/>
      <c r="C47" s="495"/>
      <c r="D47" s="496">
        <f>[1]MOOE_Overall_General_Fund!$V$134</f>
        <v>436585.01</v>
      </c>
      <c r="E47" s="496">
        <f>[1]MOOE_Overall_General_Fund!$V$295</f>
        <v>182129.89</v>
      </c>
      <c r="F47" s="496">
        <f>[1]MOOE_Overall_General_Fund!$V$455</f>
        <v>408930</v>
      </c>
      <c r="G47" s="496">
        <f t="shared" si="1"/>
        <v>591059.89</v>
      </c>
      <c r="H47" s="496">
        <f>[3]MOOE_Overall_General_Fund!$V$14</f>
        <v>200000</v>
      </c>
    </row>
    <row r="48" spans="1:10" x14ac:dyDescent="0.25">
      <c r="A48" s="505" t="s">
        <v>130</v>
      </c>
      <c r="B48" s="505"/>
      <c r="C48" s="495"/>
      <c r="D48" s="496">
        <f>[1]MOOE_Overall_General_Fund!$V$135</f>
        <v>18474.63</v>
      </c>
      <c r="E48" s="496">
        <f>[1]MOOE_Overall_General_Fund!$V$296</f>
        <v>26680</v>
      </c>
      <c r="F48" s="496">
        <f>[1]MOOE_Overall_General_Fund!$V$456</f>
        <v>1613.63</v>
      </c>
      <c r="G48" s="496">
        <f t="shared" si="1"/>
        <v>28293.63</v>
      </c>
      <c r="H48" s="496">
        <f>[3]MOOE_Overall_General_Fund!$V$15</f>
        <v>250000</v>
      </c>
    </row>
    <row r="49" spans="1:8" x14ac:dyDescent="0.25">
      <c r="A49" s="161" t="s">
        <v>16</v>
      </c>
      <c r="B49" s="161"/>
      <c r="C49" s="495"/>
      <c r="D49" s="496">
        <f>[1]MOOE_Overall_General_Fund!$V$136</f>
        <v>45729.74</v>
      </c>
      <c r="E49" s="496">
        <f>[1]MOOE_Overall_General_Fund!$V$297</f>
        <v>540</v>
      </c>
      <c r="F49" s="496">
        <f>[1]MOOE_Overall_General_Fund!$V$457</f>
        <v>2202.1500000000015</v>
      </c>
      <c r="G49" s="496">
        <f t="shared" si="1"/>
        <v>2742.1500000000015</v>
      </c>
      <c r="H49" s="496">
        <f>[3]MOOE_Overall_General_Fund!$V$16</f>
        <v>50000</v>
      </c>
    </row>
    <row r="50" spans="1:8" x14ac:dyDescent="0.25">
      <c r="A50" s="161" t="s">
        <v>19</v>
      </c>
      <c r="B50" s="161"/>
      <c r="C50" s="495"/>
      <c r="D50" s="496">
        <f>[1]MOOE_Overall_General_Fund!$V$137</f>
        <v>32836</v>
      </c>
      <c r="E50" s="496">
        <f>[1]MOOE_Overall_General_Fund!$V$298</f>
        <v>14843.12</v>
      </c>
      <c r="F50" s="496">
        <f>[1]MOOE_Overall_General_Fund!$V$458</f>
        <v>14560</v>
      </c>
      <c r="G50" s="496">
        <f t="shared" si="1"/>
        <v>29403.120000000003</v>
      </c>
      <c r="H50" s="496">
        <f>[3]MOOE_Overall_General_Fund!$V$17</f>
        <v>30000</v>
      </c>
    </row>
    <row r="51" spans="1:8" x14ac:dyDescent="0.25">
      <c r="A51" s="161" t="s">
        <v>206</v>
      </c>
      <c r="B51" s="161"/>
      <c r="C51" s="495"/>
      <c r="D51" s="496">
        <f>[1]MOOE_Overall_General_Fund!$V$138</f>
        <v>23194</v>
      </c>
      <c r="E51" s="496">
        <f>[1]MOOE_Overall_General_Fund!$V$299</f>
        <v>0</v>
      </c>
      <c r="F51" s="496">
        <f>[1]MOOE_Overall_General_Fund!$V$459</f>
        <v>2705</v>
      </c>
      <c r="G51" s="496">
        <f t="shared" si="1"/>
        <v>2705</v>
      </c>
      <c r="H51" s="496">
        <f>[3]MOOE_Overall_General_Fund!$V$18</f>
        <v>30000</v>
      </c>
    </row>
    <row r="52" spans="1:8" x14ac:dyDescent="0.25">
      <c r="A52" s="161" t="s">
        <v>207</v>
      </c>
      <c r="B52" s="161"/>
      <c r="C52" s="495"/>
      <c r="D52" s="496">
        <f>[1]MOOE_Overall_General_Fund!$V$139</f>
        <v>41879.980000000003</v>
      </c>
      <c r="E52" s="496">
        <f>[1]MOOE_Overall_General_Fund!$V$300</f>
        <v>0</v>
      </c>
      <c r="F52" s="496">
        <f>[1]MOOE_Overall_General_Fund!$V$460</f>
        <v>66955</v>
      </c>
      <c r="G52" s="496">
        <f t="shared" si="1"/>
        <v>66955</v>
      </c>
      <c r="H52" s="496">
        <f>[3]MOOE_Overall_General_Fund!$V$19</f>
        <v>50000</v>
      </c>
    </row>
    <row r="53" spans="1:8" x14ac:dyDescent="0.25">
      <c r="A53" s="161" t="s">
        <v>23</v>
      </c>
      <c r="B53" s="161"/>
      <c r="C53" s="495"/>
      <c r="D53" s="496">
        <f>[1]MOOE_Overall_General_Fund!$V$140</f>
        <v>0</v>
      </c>
      <c r="E53" s="496">
        <f>[1]MOOE_Overall_General_Fund!$V$301</f>
        <v>0</v>
      </c>
      <c r="F53" s="496">
        <f>[1]MOOE_Overall_General_Fund!$V$461</f>
        <v>0</v>
      </c>
      <c r="G53" s="496">
        <f t="shared" si="1"/>
        <v>0</v>
      </c>
      <c r="H53" s="496">
        <f>[3]MOOE_Overall_General_Fund!$V$20</f>
        <v>0</v>
      </c>
    </row>
    <row r="54" spans="1:8" x14ac:dyDescent="0.25">
      <c r="A54" s="506" t="s">
        <v>668</v>
      </c>
      <c r="B54" s="507"/>
      <c r="C54" s="495"/>
      <c r="D54" s="496">
        <f>[3]MOOE_Overall_General_Fund!$V$141</f>
        <v>0</v>
      </c>
      <c r="E54" s="496">
        <f>[1]MOOE_Overall_General_Fund!$V$302</f>
        <v>0</v>
      </c>
      <c r="F54" s="496">
        <f>[3]MOOE_Overall_General_Fund!$V$461</f>
        <v>0</v>
      </c>
      <c r="G54" s="496">
        <f t="shared" si="1"/>
        <v>0</v>
      </c>
      <c r="H54" s="496">
        <f>[3]MOOE_Overall_General_Fund!$V$21</f>
        <v>50000</v>
      </c>
    </row>
    <row r="55" spans="1:8" x14ac:dyDescent="0.25">
      <c r="A55" s="161" t="s">
        <v>22</v>
      </c>
      <c r="B55" s="161"/>
      <c r="C55" s="495"/>
      <c r="D55" s="496">
        <f>[3]MOOE_Overall_General_Fund!$V$142</f>
        <v>0</v>
      </c>
      <c r="E55" s="496">
        <f>[1]MOOE_Overall_General_Fund!$V$303</f>
        <v>0</v>
      </c>
      <c r="F55" s="496">
        <f>[3]MOOE_Overall_General_Fund!$V$462</f>
        <v>0</v>
      </c>
      <c r="G55" s="496">
        <f t="shared" si="1"/>
        <v>0</v>
      </c>
      <c r="H55" s="496">
        <f>[3]MOOE_Overall_General_Fund!$V$22</f>
        <v>10000</v>
      </c>
    </row>
    <row r="56" spans="1:8" x14ac:dyDescent="0.25">
      <c r="A56" s="508" t="s">
        <v>179</v>
      </c>
      <c r="B56" s="508"/>
      <c r="C56" s="495"/>
      <c r="D56" s="496">
        <f>[1]MOOE_Overall_General_Fund!$V$143</f>
        <v>150000</v>
      </c>
      <c r="E56" s="496">
        <f>[1]MOOE_Overall_General_Fund!$V$304</f>
        <v>37500</v>
      </c>
      <c r="F56" s="496">
        <f>[1]MOOE_Overall_General_Fund!$V$464</f>
        <v>81250</v>
      </c>
      <c r="G56" s="496">
        <f t="shared" si="1"/>
        <v>118750</v>
      </c>
      <c r="H56" s="496">
        <f>[3]MOOE_Overall_General_Fund!$V$23</f>
        <v>210000</v>
      </c>
    </row>
    <row r="57" spans="1:8" x14ac:dyDescent="0.25">
      <c r="A57" s="508" t="s">
        <v>180</v>
      </c>
      <c r="B57" s="508"/>
      <c r="C57" s="495"/>
      <c r="D57" s="496">
        <f>[1]MOOE_Overall_General_Fund!$V$144</f>
        <v>0</v>
      </c>
      <c r="E57" s="496">
        <f>[1]MOOE_Overall_General_Fund!$V$305</f>
        <v>119000</v>
      </c>
      <c r="F57" s="496">
        <f>[1]MOOE_Overall_General_Fund!$V$465</f>
        <v>170640</v>
      </c>
      <c r="G57" s="496">
        <f t="shared" si="1"/>
        <v>289640</v>
      </c>
      <c r="H57" s="496">
        <f>[3]MOOE_Overall_General_Fund!$V$24</f>
        <v>300000</v>
      </c>
    </row>
    <row r="58" spans="1:8" x14ac:dyDescent="0.25">
      <c r="A58" s="161" t="s">
        <v>33</v>
      </c>
      <c r="B58" s="161"/>
      <c r="C58" s="495"/>
      <c r="D58" s="496">
        <f>[3]MOOE_Overall_General_Fund!$V$145</f>
        <v>0</v>
      </c>
      <c r="E58" s="496">
        <f>[1]MOOE_Overall_General_Fund!$V$306</f>
        <v>0</v>
      </c>
      <c r="F58" s="496">
        <f>[3]MOOE_Overall_General_Fund!$V$465</f>
        <v>0</v>
      </c>
      <c r="G58" s="496">
        <f t="shared" si="1"/>
        <v>0</v>
      </c>
      <c r="H58" s="496">
        <f>[3]MOOE_Overall_General_Fund!$V$25</f>
        <v>35000</v>
      </c>
    </row>
    <row r="59" spans="1:8" x14ac:dyDescent="0.25">
      <c r="A59" s="508" t="s">
        <v>30</v>
      </c>
      <c r="B59" s="508"/>
      <c r="C59" s="495"/>
      <c r="D59" s="496">
        <f>[1]MOOE_Overall_General_Fund!$V$146</f>
        <v>39665.01</v>
      </c>
      <c r="E59" s="496">
        <f>[1]MOOE_Overall_General_Fund!$V$307</f>
        <v>0</v>
      </c>
      <c r="F59" s="496">
        <f>[1]MOOE_Overall_General_Fund!$V$467</f>
        <v>10000</v>
      </c>
      <c r="G59" s="496">
        <f t="shared" si="1"/>
        <v>10000</v>
      </c>
      <c r="H59" s="496">
        <f>[3]MOOE_Overall_General_Fund!$V$26</f>
        <v>40000</v>
      </c>
    </row>
    <row r="60" spans="1:8" x14ac:dyDescent="0.25">
      <c r="A60" s="508" t="s">
        <v>185</v>
      </c>
      <c r="B60" s="508"/>
      <c r="C60" s="495"/>
      <c r="D60" s="496">
        <v>0</v>
      </c>
      <c r="E60" s="496">
        <f>[1]MOOE_Overall_General_Fund!$V$308</f>
        <v>0</v>
      </c>
      <c r="F60" s="496">
        <f>[3]MOOE_Overall_General_Fund!$V$467</f>
        <v>0</v>
      </c>
      <c r="G60" s="496">
        <f t="shared" si="1"/>
        <v>0</v>
      </c>
      <c r="H60" s="496">
        <f>[3]MOOE_Overall_General_Fund!$V$27</f>
        <v>0</v>
      </c>
    </row>
    <row r="61" spans="1:8" x14ac:dyDescent="0.25">
      <c r="A61" s="508" t="s">
        <v>28</v>
      </c>
      <c r="B61" s="508"/>
      <c r="C61" s="495"/>
      <c r="D61" s="496">
        <f>[1]MOOE_Overall_General_Fund!$V$148</f>
        <v>47062.5</v>
      </c>
      <c r="E61" s="496">
        <f>[1]MOOE_Overall_General_Fund!$V$309</f>
        <v>45365</v>
      </c>
      <c r="F61" s="496">
        <f>[1]MOOE_Overall_General_Fund!$V$469</f>
        <v>72869.5</v>
      </c>
      <c r="G61" s="496">
        <f t="shared" si="1"/>
        <v>118234.5</v>
      </c>
      <c r="H61" s="496">
        <f>[3]MOOE_Overall_General_Fund!$V$28</f>
        <v>50000</v>
      </c>
    </row>
    <row r="62" spans="1:8" x14ac:dyDescent="0.25">
      <c r="A62" s="508" t="s">
        <v>186</v>
      </c>
      <c r="B62" s="508"/>
      <c r="C62" s="123"/>
      <c r="D62" s="496">
        <v>0</v>
      </c>
      <c r="E62" s="496">
        <f>[1]MOOE_Overall_General_Fund!$V$310</f>
        <v>0</v>
      </c>
      <c r="F62" s="496">
        <f>[1]MOOE_Overall_General_Fund!$V$470</f>
        <v>4000</v>
      </c>
      <c r="G62" s="496">
        <f t="shared" si="1"/>
        <v>4000</v>
      </c>
      <c r="H62" s="496">
        <f>[3]MOOE_Overall_General_Fund!$V$29</f>
        <v>14000</v>
      </c>
    </row>
    <row r="63" spans="1:8" x14ac:dyDescent="0.25">
      <c r="A63" s="509" t="s">
        <v>77</v>
      </c>
      <c r="B63" s="509"/>
      <c r="C63" s="510"/>
      <c r="D63" s="496">
        <f>[3]MOOE_Overall_General_Fund!$V$150</f>
        <v>0</v>
      </c>
      <c r="E63" s="496">
        <f>[1]MOOE_Overall_General_Fund!$V$311</f>
        <v>54000</v>
      </c>
      <c r="F63" s="496">
        <f>[1]MOOE_Overall_General_Fund!$V$471</f>
        <v>122930</v>
      </c>
      <c r="G63" s="496">
        <f t="shared" si="1"/>
        <v>176930</v>
      </c>
      <c r="H63" s="496">
        <f>[3]MOOE_Overall_General_Fund!$V$30</f>
        <v>150000</v>
      </c>
    </row>
    <row r="64" spans="1:8" x14ac:dyDescent="0.25">
      <c r="A64" s="508" t="s">
        <v>34</v>
      </c>
      <c r="B64" s="511" t="s">
        <v>669</v>
      </c>
      <c r="C64" s="495"/>
      <c r="D64" s="496">
        <f>[3]MOOE_Overall_General_Fund!$V$151</f>
        <v>0</v>
      </c>
      <c r="E64" s="496">
        <f>[1]MOOE_Overall_General_Fund!$V$312</f>
        <v>108500</v>
      </c>
      <c r="F64" s="496">
        <f>[1]MOOE_Overall_General_Fund!$V$472</f>
        <v>199740</v>
      </c>
      <c r="G64" s="496">
        <f t="shared" si="1"/>
        <v>308240</v>
      </c>
      <c r="H64" s="496"/>
    </row>
    <row r="65" spans="1:8" x14ac:dyDescent="0.25">
      <c r="A65" s="499" t="s">
        <v>59</v>
      </c>
      <c r="B65" s="511" t="s">
        <v>669</v>
      </c>
      <c r="C65" s="495"/>
      <c r="D65" s="496">
        <f>[1]MOOE_Overall_General_Fund!$V$152</f>
        <v>13000</v>
      </c>
      <c r="E65" s="496">
        <f>[1]MOOE_Overall_General_Fund!$V$313</f>
        <v>0</v>
      </c>
      <c r="F65" s="496">
        <f>[1]MOOE_Overall_General_Fund!$V$473</f>
        <v>15500</v>
      </c>
      <c r="G65" s="496">
        <f t="shared" si="1"/>
        <v>15500</v>
      </c>
      <c r="H65" s="496"/>
    </row>
    <row r="66" spans="1:8" x14ac:dyDescent="0.25">
      <c r="A66" s="512" t="s">
        <v>190</v>
      </c>
      <c r="B66" s="511" t="s">
        <v>669</v>
      </c>
      <c r="C66" s="495"/>
      <c r="D66" s="496">
        <f>[1]MOOE_Overall_General_Fund!$V$153</f>
        <v>88940</v>
      </c>
      <c r="E66" s="496">
        <f>[1]MOOE_Overall_General_Fund!$V$314</f>
        <v>321450</v>
      </c>
      <c r="F66" s="496">
        <f>[1]MOOE_Overall_General_Fund!$V$474</f>
        <v>826980</v>
      </c>
      <c r="G66" s="496">
        <f t="shared" si="1"/>
        <v>1148430</v>
      </c>
      <c r="H66" s="496"/>
    </row>
    <row r="67" spans="1:8" x14ac:dyDescent="0.25">
      <c r="A67" s="508" t="s">
        <v>191</v>
      </c>
      <c r="B67" s="511" t="s">
        <v>669</v>
      </c>
      <c r="C67" s="495"/>
      <c r="D67" s="496">
        <f>[1]MOOE_Overall_General_Fund!$V$154</f>
        <v>85900</v>
      </c>
      <c r="E67" s="496">
        <f>[1]MOOE_Overall_General_Fund!$V$315</f>
        <v>63830</v>
      </c>
      <c r="F67" s="496">
        <f>[1]MOOE_Overall_General_Fund!$V$475</f>
        <v>148900</v>
      </c>
      <c r="G67" s="496">
        <f t="shared" si="1"/>
        <v>212730</v>
      </c>
      <c r="H67" s="496"/>
    </row>
    <row r="68" spans="1:8" x14ac:dyDescent="0.25">
      <c r="A68" s="508" t="s">
        <v>193</v>
      </c>
      <c r="B68" s="511" t="s">
        <v>669</v>
      </c>
      <c r="C68" s="495"/>
      <c r="D68" s="496">
        <f>[3]MOOE_Overall_General_Fund!$V$155</f>
        <v>0</v>
      </c>
      <c r="E68" s="496">
        <f>[1]MOOE_Overall_General_Fund!$V$316</f>
        <v>40320</v>
      </c>
      <c r="F68" s="496">
        <f>[1]MOOE_Overall_General_Fund!$V$476</f>
        <v>191280</v>
      </c>
      <c r="G68" s="496">
        <f t="shared" si="1"/>
        <v>231600</v>
      </c>
      <c r="H68" s="496"/>
    </row>
    <row r="69" spans="1:8" x14ac:dyDescent="0.25">
      <c r="A69" s="508" t="s">
        <v>194</v>
      </c>
      <c r="B69" s="511" t="s">
        <v>669</v>
      </c>
      <c r="C69" s="495"/>
      <c r="D69" s="496">
        <f>[3]MOOE_Overall_General_Fund!$V$156</f>
        <v>0</v>
      </c>
      <c r="E69" s="496">
        <f>[1]MOOE_Overall_General_Fund!$V$317</f>
        <v>37950</v>
      </c>
      <c r="F69" s="496">
        <f>[1]MOOE_Overall_General_Fund!$V$477</f>
        <v>63860</v>
      </c>
      <c r="G69" s="496">
        <f t="shared" si="1"/>
        <v>101810</v>
      </c>
      <c r="H69" s="496"/>
    </row>
    <row r="70" spans="1:8" x14ac:dyDescent="0.25">
      <c r="A70" s="508" t="s">
        <v>195</v>
      </c>
      <c r="B70" s="511" t="s">
        <v>669</v>
      </c>
      <c r="C70" s="97">
        <v>50216020</v>
      </c>
      <c r="D70" s="496">
        <f>[3]MOOE_Overall_General_Fund!$V$157</f>
        <v>0</v>
      </c>
      <c r="E70" s="496">
        <f>[1]MOOE_Overall_General_Fund!$V$318</f>
        <v>0</v>
      </c>
      <c r="F70" s="496">
        <f>[3]MOOE_Overall_General_Fund!$V$477</f>
        <v>0</v>
      </c>
      <c r="G70" s="496">
        <f t="shared" si="1"/>
        <v>0</v>
      </c>
      <c r="H70" s="496"/>
    </row>
    <row r="71" spans="1:8" x14ac:dyDescent="0.25">
      <c r="A71" s="508" t="str">
        <f>[3]MOOE_Overall_General_Fund!$A$318</f>
        <v xml:space="preserve">       Special DSWD Programs / Projects (0SCA)</v>
      </c>
      <c r="B71" s="511" t="s">
        <v>670</v>
      </c>
      <c r="C71" s="97"/>
      <c r="D71" s="496">
        <f>[1]MOOE_Overall_General_Fund!$V$158</f>
        <v>135398.69</v>
      </c>
      <c r="E71" s="496"/>
      <c r="F71" s="496">
        <f>[1]MOOE_Overall_General_Fund!$V$479</f>
        <v>0</v>
      </c>
      <c r="G71" s="496">
        <f t="shared" si="1"/>
        <v>0</v>
      </c>
      <c r="H71" s="496"/>
    </row>
    <row r="72" spans="1:8" x14ac:dyDescent="0.25">
      <c r="A72" s="513" t="s">
        <v>671</v>
      </c>
      <c r="B72" s="511" t="s">
        <v>672</v>
      </c>
      <c r="C72" s="97">
        <v>5029990</v>
      </c>
      <c r="D72" s="496">
        <f>[3]MOOE_Overall_General_Fund!$V$159</f>
        <v>0</v>
      </c>
      <c r="E72" s="496">
        <f>[3]MOOE_Overall_General_Fund!$V$319</f>
        <v>0</v>
      </c>
      <c r="F72" s="496">
        <f>[1]MOOE_Overall_General_Fund!$V$480</f>
        <v>10000</v>
      </c>
      <c r="G72" s="496">
        <f t="shared" si="1"/>
        <v>10000</v>
      </c>
      <c r="H72" s="496"/>
    </row>
    <row r="73" spans="1:8" x14ac:dyDescent="0.25">
      <c r="A73" s="513" t="s">
        <v>673</v>
      </c>
      <c r="B73" s="513"/>
      <c r="C73" s="97"/>
      <c r="D73" s="496">
        <f>[3]MOOE_Overall_General_Fund!$V$162</f>
        <v>0</v>
      </c>
      <c r="E73" s="496">
        <f>[3]MOOE_Overall_General_Fund!$V$320</f>
        <v>0</v>
      </c>
      <c r="F73" s="496">
        <f>[3]MOOE_Overall_General_Fund!$V$480</f>
        <v>0</v>
      </c>
      <c r="G73" s="496">
        <f t="shared" si="1"/>
        <v>0</v>
      </c>
      <c r="H73" s="496">
        <f>[3]MOOE_Overall_General_Fund!$V$40</f>
        <v>0</v>
      </c>
    </row>
    <row r="74" spans="1:8" x14ac:dyDescent="0.25">
      <c r="A74" s="513" t="s">
        <v>674</v>
      </c>
      <c r="B74" s="511" t="s">
        <v>672</v>
      </c>
      <c r="C74" s="97">
        <v>5029990</v>
      </c>
      <c r="D74" s="496">
        <f>[3]MOOE_Overall_General_Fund!$V$163</f>
        <v>0</v>
      </c>
      <c r="E74" s="496">
        <f>[3]MOOE_Overall_General_Fund!$V$321</f>
        <v>0</v>
      </c>
      <c r="F74" s="496">
        <f>[1]MOOE_Overall_General_Fund!$V$482</f>
        <v>19500</v>
      </c>
      <c r="G74" s="496">
        <f t="shared" si="1"/>
        <v>19500</v>
      </c>
      <c r="H74" s="496"/>
    </row>
    <row r="75" spans="1:8" x14ac:dyDescent="0.25">
      <c r="A75" s="513" t="s">
        <v>675</v>
      </c>
      <c r="B75" s="511" t="s">
        <v>672</v>
      </c>
      <c r="C75" s="97">
        <v>5029990</v>
      </c>
      <c r="D75" s="496">
        <f>[3]MOOE_Overall_General_Fund!$V$164</f>
        <v>0</v>
      </c>
      <c r="E75" s="496">
        <f>[3]MOOE_Overall_General_Fund!$V$324</f>
        <v>0</v>
      </c>
      <c r="F75" s="496">
        <f>[3]MOOE_Overall_General_Fund!$V$482</f>
        <v>0</v>
      </c>
      <c r="G75" s="496">
        <f t="shared" si="1"/>
        <v>0</v>
      </c>
      <c r="H75" s="496"/>
    </row>
    <row r="76" spans="1:8" x14ac:dyDescent="0.25">
      <c r="A76" s="513" t="s">
        <v>676</v>
      </c>
      <c r="B76" s="513"/>
      <c r="C76" s="97">
        <v>50203010</v>
      </c>
      <c r="D76" s="496">
        <f>[3]MOOE_Overall_General_Fund!$V$165</f>
        <v>0</v>
      </c>
      <c r="E76" s="496">
        <v>0</v>
      </c>
      <c r="F76" s="496">
        <f>[3]MOOE_Overall_General_Fund!$V$485</f>
        <v>0</v>
      </c>
      <c r="G76" s="496">
        <f t="shared" si="1"/>
        <v>0</v>
      </c>
      <c r="H76" s="496">
        <f>[3]MOOE_Overall_General_Fund!$V$43</f>
        <v>0</v>
      </c>
    </row>
    <row r="77" spans="1:8" x14ac:dyDescent="0.25">
      <c r="A77" s="513" t="s">
        <v>677</v>
      </c>
      <c r="B77" s="511" t="s">
        <v>669</v>
      </c>
      <c r="C77" s="97"/>
      <c r="D77" s="496">
        <f>[3]MOOE_Overall_General_Fund!$V$166</f>
        <v>0</v>
      </c>
      <c r="E77" s="496">
        <f>[1]MOOE_Overall_General_Fund!$V$327</f>
        <v>210000</v>
      </c>
      <c r="F77" s="496">
        <f>[1]MOOE_Overall_General_Fund!$V$487</f>
        <v>374500</v>
      </c>
      <c r="G77" s="496">
        <f t="shared" si="1"/>
        <v>584500</v>
      </c>
      <c r="H77" s="496"/>
    </row>
    <row r="78" spans="1:8" x14ac:dyDescent="0.25">
      <c r="A78" s="513" t="s">
        <v>678</v>
      </c>
      <c r="B78" s="511" t="s">
        <v>669</v>
      </c>
      <c r="C78" s="97">
        <v>5129990</v>
      </c>
      <c r="D78" s="496">
        <f>[3]MOOE_Overall_General_Fund!$V$167</f>
        <v>0</v>
      </c>
      <c r="E78" s="496">
        <f>[1]MOOE_Overall_General_Fund!$V$328</f>
        <v>1000</v>
      </c>
      <c r="F78" s="496">
        <f>[1]MOOE_Overall_General_Fund!$V$488</f>
        <v>1000</v>
      </c>
      <c r="G78" s="496">
        <f t="shared" si="1"/>
        <v>2000</v>
      </c>
      <c r="H78" s="496"/>
    </row>
    <row r="79" spans="1:8" x14ac:dyDescent="0.25">
      <c r="A79" s="513" t="s">
        <v>679</v>
      </c>
      <c r="B79" s="513"/>
      <c r="C79" s="97"/>
      <c r="D79" s="496">
        <v>10000</v>
      </c>
      <c r="E79" s="496">
        <f>[1]MOOE_Overall_General_Fund!$V$329</f>
        <v>0</v>
      </c>
      <c r="F79" s="496">
        <f>[1]MOOE_Overall_General_Fund!$V$489</f>
        <v>610</v>
      </c>
      <c r="G79" s="496">
        <f t="shared" si="1"/>
        <v>610</v>
      </c>
      <c r="H79" s="496">
        <f>[3]MOOE_Overall_General_Fund!$V$46</f>
        <v>55948.75</v>
      </c>
    </row>
    <row r="80" spans="1:8" ht="30" x14ac:dyDescent="0.25">
      <c r="A80" s="514" t="s">
        <v>101</v>
      </c>
      <c r="B80" s="514"/>
      <c r="C80" s="97"/>
      <c r="D80" s="496">
        <v>2814295.08</v>
      </c>
      <c r="E80" s="496">
        <f>[1]MOOE_Overall_General_Fund!$V$330</f>
        <v>312078.90000000002</v>
      </c>
      <c r="F80" s="496">
        <f>[1]MOOE_Overall_General_Fund!$V$490</f>
        <v>24483.5</v>
      </c>
      <c r="G80" s="496">
        <f t="shared" si="1"/>
        <v>336562.4</v>
      </c>
      <c r="H80" s="496">
        <f>[3]MOOE_Overall_General_Fund!$V$47</f>
        <v>0</v>
      </c>
    </row>
    <row r="81" spans="1:8" x14ac:dyDescent="0.25">
      <c r="A81" s="513" t="s">
        <v>680</v>
      </c>
      <c r="B81" s="513"/>
      <c r="C81" s="97"/>
      <c r="D81" s="496">
        <f>[3]MOOE_Overall_General_Fund!$V$170</f>
        <v>0</v>
      </c>
      <c r="E81" s="496">
        <f>[1]MOOE_Overall_General_Fund!$V$331</f>
        <v>212408</v>
      </c>
      <c r="F81" s="496">
        <f>[1]MOOE_Overall_General_Fund!$V$491</f>
        <v>626105.97</v>
      </c>
      <c r="G81" s="496">
        <f t="shared" si="1"/>
        <v>838513.97</v>
      </c>
      <c r="H81" s="496">
        <f>[3]MOOE_Overall_General_Fund!$V$48</f>
        <v>450000</v>
      </c>
    </row>
    <row r="82" spans="1:8" x14ac:dyDescent="0.25">
      <c r="A82" s="513" t="s">
        <v>681</v>
      </c>
      <c r="B82" s="513"/>
      <c r="C82" s="97"/>
      <c r="D82" s="496">
        <f>[3]MOOE_Overall_General_Fund!$V$171</f>
        <v>0</v>
      </c>
      <c r="E82" s="496">
        <f>[1]MOOE_Overall_General_Fund!$V$332</f>
        <v>287920</v>
      </c>
      <c r="F82" s="496">
        <f>[1]MOOE_Overall_General_Fund!$V$492</f>
        <v>292706</v>
      </c>
      <c r="G82" s="496">
        <f t="shared" si="1"/>
        <v>580626</v>
      </c>
      <c r="H82" s="496">
        <f>[3]MOOE_Overall_General_Fund!$V$49</f>
        <v>300000</v>
      </c>
    </row>
    <row r="83" spans="1:8" x14ac:dyDescent="0.25">
      <c r="A83" s="513" t="s">
        <v>682</v>
      </c>
      <c r="B83" s="513"/>
      <c r="C83" s="29">
        <v>50213050</v>
      </c>
      <c r="D83" s="496">
        <f>[3]MOOE_Overall_General_Fund!$V$172</f>
        <v>0</v>
      </c>
      <c r="E83" s="496">
        <f>[1]MOOE_Overall_General_Fund!$V$333</f>
        <v>30100.35</v>
      </c>
      <c r="F83" s="496">
        <f>[1]MOOE_Overall_General_Fund!$V$493</f>
        <v>349855.35</v>
      </c>
      <c r="G83" s="496">
        <f t="shared" si="1"/>
        <v>379955.69999999995</v>
      </c>
      <c r="H83" s="496">
        <f>[3]MOOE_Overall_General_Fund!$V$50</f>
        <v>450000</v>
      </c>
    </row>
    <row r="84" spans="1:8" x14ac:dyDescent="0.25">
      <c r="A84" s="513" t="s">
        <v>25</v>
      </c>
      <c r="B84" s="513"/>
      <c r="C84" s="97">
        <v>50299990</v>
      </c>
      <c r="D84" s="496">
        <f>[3]MOOE_Overall_General_Fund!$V$173</f>
        <v>5000</v>
      </c>
      <c r="E84" s="496">
        <f>[1]MOOE_Overall_General_Fund!$V$334</f>
        <v>0</v>
      </c>
      <c r="F84" s="496">
        <f>[1]MOOE_Overall_General_Fund!$V$494</f>
        <v>5000</v>
      </c>
      <c r="G84" s="496">
        <f t="shared" si="1"/>
        <v>5000</v>
      </c>
      <c r="H84" s="496">
        <f>[3]MOOE_Overall_General_Fund!$V$53</f>
        <v>5000</v>
      </c>
    </row>
    <row r="85" spans="1:8" x14ac:dyDescent="0.25">
      <c r="A85" s="513" t="s">
        <v>148</v>
      </c>
      <c r="B85" s="513"/>
      <c r="C85" s="97">
        <v>5029990</v>
      </c>
      <c r="D85" s="496">
        <v>18400</v>
      </c>
      <c r="E85" s="496">
        <f>[1]MOOE_Overall_General_Fund!$V$335</f>
        <v>28990</v>
      </c>
      <c r="F85" s="496">
        <f>[1]MOOE_Overall_General_Fund!$V$495</f>
        <v>9355</v>
      </c>
      <c r="G85" s="496">
        <f t="shared" si="1"/>
        <v>38345</v>
      </c>
      <c r="H85" s="496">
        <f>[3]MOOE_Overall_General_Fund!$V$54</f>
        <v>40000</v>
      </c>
    </row>
    <row r="86" spans="1:8" x14ac:dyDescent="0.25">
      <c r="A86" s="513" t="s">
        <v>149</v>
      </c>
      <c r="B86" s="513"/>
      <c r="C86" s="97"/>
      <c r="D86" s="496">
        <v>20000</v>
      </c>
      <c r="E86" s="496">
        <f>[1]MOOE_Overall_General_Fund!$V$336</f>
        <v>12000</v>
      </c>
      <c r="F86" s="496">
        <f>[1]MOOE_Overall_General_Fund!$V$496</f>
        <v>12000</v>
      </c>
      <c r="G86" s="496">
        <f t="shared" si="1"/>
        <v>24000</v>
      </c>
      <c r="H86" s="496">
        <f>[3]MOOE_Overall_General_Fund!$V$55</f>
        <v>24000</v>
      </c>
    </row>
    <row r="87" spans="1:8" x14ac:dyDescent="0.25">
      <c r="A87" s="513" t="s">
        <v>683</v>
      </c>
      <c r="B87" s="513"/>
      <c r="C87" s="515">
        <v>50299990</v>
      </c>
      <c r="D87" s="496">
        <v>39380.379999999997</v>
      </c>
      <c r="E87" s="496">
        <f>[1]MOOE_Overall_General_Fund!$V$337</f>
        <v>0</v>
      </c>
      <c r="F87" s="496">
        <f>[1]MOOE_Overall_General_Fund!$V$497</f>
        <v>0</v>
      </c>
      <c r="G87" s="496">
        <f t="shared" si="1"/>
        <v>0</v>
      </c>
      <c r="H87" s="496">
        <f>[3]MOOE_Overall_General_Fund!$V$56</f>
        <v>0</v>
      </c>
    </row>
    <row r="88" spans="1:8" x14ac:dyDescent="0.25">
      <c r="A88" s="513" t="s">
        <v>65</v>
      </c>
      <c r="B88" s="513"/>
      <c r="C88" s="495"/>
      <c r="D88" s="496">
        <f>[3]MOOE_Overall_General_Fund!$V$177</f>
        <v>0</v>
      </c>
      <c r="E88" s="496">
        <f>[3]MOOE_Overall_General_Fund!$V$337</f>
        <v>0</v>
      </c>
      <c r="F88" s="496">
        <f>[3]MOOE_Overall_General_Fund!$V$497</f>
        <v>0</v>
      </c>
      <c r="G88" s="496">
        <f t="shared" si="1"/>
        <v>0</v>
      </c>
      <c r="H88" s="496">
        <f>[3]MOOE_Overall_General_Fund!$V$57</f>
        <v>0</v>
      </c>
    </row>
    <row r="89" spans="1:8" x14ac:dyDescent="0.25">
      <c r="A89" s="513" t="s">
        <v>153</v>
      </c>
      <c r="B89" s="513"/>
      <c r="C89" s="495"/>
      <c r="D89" s="496">
        <v>17580</v>
      </c>
      <c r="E89" s="496">
        <f>[1]MOOE_Overall_General_Fund!$V$339</f>
        <v>40874.99</v>
      </c>
      <c r="F89" s="496">
        <f>[1]MOOE_Overall_General_Fund!$V$499</f>
        <v>6800</v>
      </c>
      <c r="G89" s="496">
        <f t="shared" si="1"/>
        <v>47674.99</v>
      </c>
      <c r="H89" s="496">
        <v>50000</v>
      </c>
    </row>
    <row r="90" spans="1:8" x14ac:dyDescent="0.25">
      <c r="A90" s="513" t="s">
        <v>144</v>
      </c>
      <c r="B90" s="513"/>
      <c r="C90" s="495"/>
      <c r="D90" s="496">
        <f>[3]MOOE_Overall_General_Fund!$V$183</f>
        <v>0</v>
      </c>
      <c r="E90" s="496">
        <f>[3]MOOE_Overall_General_Fund!$V$343</f>
        <v>0</v>
      </c>
      <c r="F90" s="496">
        <f>[3]MOOE_Overall_General_Fund!$V$503</f>
        <v>0</v>
      </c>
      <c r="G90" s="496">
        <f t="shared" si="1"/>
        <v>0</v>
      </c>
      <c r="H90" s="496">
        <f>[3]MOOE_Overall_General_Fund!$V$63</f>
        <v>1000</v>
      </c>
    </row>
    <row r="91" spans="1:8" x14ac:dyDescent="0.25">
      <c r="A91" s="513" t="s">
        <v>145</v>
      </c>
      <c r="B91" s="513"/>
      <c r="C91" s="495"/>
      <c r="D91" s="496">
        <f>[3]MOOE_Overall_General_Fund!$V$184</f>
        <v>0</v>
      </c>
      <c r="E91" s="496">
        <f>[3]MOOE_Overall_General_Fund!$V$344</f>
        <v>0</v>
      </c>
      <c r="F91" s="496">
        <f>[3]MOOE_Overall_General_Fund!$V$504</f>
        <v>0</v>
      </c>
      <c r="G91" s="496">
        <f t="shared" si="1"/>
        <v>0</v>
      </c>
      <c r="H91" s="496">
        <f>[3]MOOE_Overall_General_Fund!$V$64</f>
        <v>8000</v>
      </c>
    </row>
    <row r="92" spans="1:8" x14ac:dyDescent="0.25">
      <c r="A92" s="513" t="s">
        <v>146</v>
      </c>
      <c r="B92" s="511" t="s">
        <v>669</v>
      </c>
      <c r="C92" s="495"/>
      <c r="D92" s="496"/>
      <c r="E92" s="496">
        <f>[1]MOOE_Overall_General_Fund!$V$346</f>
        <v>5000</v>
      </c>
      <c r="F92" s="496">
        <f>[3]MOOE_Overall_General_Fund!$V$505</f>
        <v>0</v>
      </c>
      <c r="G92" s="496">
        <f t="shared" si="1"/>
        <v>5000</v>
      </c>
      <c r="H92" s="496"/>
    </row>
    <row r="93" spans="1:8" x14ac:dyDescent="0.25">
      <c r="A93" s="513" t="s">
        <v>147</v>
      </c>
      <c r="B93" s="511" t="s">
        <v>669</v>
      </c>
      <c r="C93" s="495"/>
      <c r="D93" s="496">
        <f>[3]MOOE_Overall_General_Fund!$V$186</f>
        <v>0</v>
      </c>
      <c r="E93" s="496">
        <f>[1]MOOE_Overall_General_Fund!$V$347</f>
        <v>0</v>
      </c>
      <c r="F93" s="496">
        <f>[3]MOOE_Overall_General_Fund!$V$506</f>
        <v>0</v>
      </c>
      <c r="G93" s="496">
        <f t="shared" si="1"/>
        <v>0</v>
      </c>
      <c r="H93" s="496"/>
    </row>
    <row r="94" spans="1:8" x14ac:dyDescent="0.25">
      <c r="A94" s="513" t="s">
        <v>150</v>
      </c>
      <c r="B94" s="513"/>
      <c r="C94" s="495"/>
      <c r="D94" s="496">
        <v>10000</v>
      </c>
      <c r="E94" s="496">
        <f>[1]MOOE_Overall_General_Fund!$V$348</f>
        <v>25000</v>
      </c>
      <c r="F94" s="496">
        <f>[3]MOOE_Overall_General_Fund!$V$507</f>
        <v>0</v>
      </c>
      <c r="G94" s="496">
        <f t="shared" si="1"/>
        <v>25000</v>
      </c>
      <c r="H94" s="496">
        <f>[3]MOOE_Overall_General_Fund!$V$67</f>
        <v>54000</v>
      </c>
    </row>
    <row r="95" spans="1:8" x14ac:dyDescent="0.25">
      <c r="A95" s="513" t="s">
        <v>684</v>
      </c>
      <c r="B95" s="513"/>
      <c r="C95" s="516"/>
      <c r="D95" s="496">
        <v>884275.82</v>
      </c>
      <c r="E95" s="496">
        <f>[1]MOOE_Overall_General_Fund!$V$349</f>
        <v>351532.7</v>
      </c>
      <c r="F95" s="496">
        <f>[1]MOOE_Overall_General_Fund!$V$509</f>
        <v>465546.15</v>
      </c>
      <c r="G95" s="496">
        <f t="shared" si="1"/>
        <v>817078.85000000009</v>
      </c>
      <c r="H95" s="496">
        <f>[3]MOOE_Overall_General_Fund!$V$68</f>
        <v>0</v>
      </c>
    </row>
    <row r="96" spans="1:8" x14ac:dyDescent="0.25">
      <c r="A96" s="513" t="s">
        <v>685</v>
      </c>
      <c r="B96" s="513"/>
      <c r="C96" s="495"/>
      <c r="D96" s="496">
        <f>[3]MOOE_Overall_General_Fund!$V$189</f>
        <v>0</v>
      </c>
      <c r="E96" s="496">
        <f>[1]MOOE_Overall_General_Fund!$V$350</f>
        <v>30275</v>
      </c>
      <c r="F96" s="496">
        <f>[1]MOOE_Overall_General_Fund!$V$510</f>
        <v>12500</v>
      </c>
      <c r="G96" s="496">
        <f t="shared" si="1"/>
        <v>42775</v>
      </c>
      <c r="H96" s="496"/>
    </row>
    <row r="97" spans="1:8" x14ac:dyDescent="0.25">
      <c r="A97" s="513" t="s">
        <v>686</v>
      </c>
      <c r="B97" s="513"/>
      <c r="C97" s="495"/>
      <c r="D97" s="496"/>
      <c r="E97" s="496">
        <f>[1]MOOE_Overall_General_Fund!$V$351</f>
        <v>2920</v>
      </c>
      <c r="F97" s="496">
        <f>[3]MOOE_Overall_General_Fund!$V$510</f>
        <v>0</v>
      </c>
      <c r="G97" s="496">
        <f t="shared" si="1"/>
        <v>2920</v>
      </c>
      <c r="H97" s="496"/>
    </row>
    <row r="98" spans="1:8" x14ac:dyDescent="0.25">
      <c r="A98" s="513" t="s">
        <v>687</v>
      </c>
      <c r="B98" s="513"/>
      <c r="C98" s="495"/>
      <c r="D98" s="496">
        <f>[3]MOOE_Overall_General_Fund!$V$191</f>
        <v>0</v>
      </c>
      <c r="E98" s="496">
        <f>[1]MOOE_Overall_General_Fund!$V$352</f>
        <v>72479.5</v>
      </c>
      <c r="F98" s="496">
        <f>[1]MOOE_Overall_General_Fund!$V$512</f>
        <v>108273.66</v>
      </c>
      <c r="G98" s="496">
        <f t="shared" si="1"/>
        <v>180753.16</v>
      </c>
      <c r="H98" s="496"/>
    </row>
    <row r="99" spans="1:8" x14ac:dyDescent="0.25">
      <c r="A99" s="513" t="s">
        <v>688</v>
      </c>
      <c r="B99" s="513"/>
      <c r="C99" s="516"/>
      <c r="D99" s="496">
        <f>[3]MOOE_Overall_General_Fund!$V$192</f>
        <v>0</v>
      </c>
      <c r="E99" s="496">
        <f>[3]MOOE_Overall_General_Fund!$V$352</f>
        <v>0</v>
      </c>
      <c r="F99" s="496">
        <f>[3]MOOE_Overall_General_Fund!$V$512</f>
        <v>0</v>
      </c>
      <c r="G99" s="496">
        <f t="shared" si="1"/>
        <v>0</v>
      </c>
      <c r="H99" s="496"/>
    </row>
    <row r="100" spans="1:8" x14ac:dyDescent="0.25">
      <c r="A100" s="513" t="s">
        <v>689</v>
      </c>
      <c r="B100" s="513"/>
      <c r="C100" s="495"/>
      <c r="D100" s="496">
        <f>[3]MOOE_Overall_General_Fund!$V$193</f>
        <v>0</v>
      </c>
      <c r="E100" s="496">
        <f>[3]MOOE_Overall_General_Fund!$V$353</f>
        <v>0</v>
      </c>
      <c r="F100" s="496">
        <f>[3]MOOE_Overall_General_Fund!$V$513</f>
        <v>0</v>
      </c>
      <c r="G100" s="496">
        <f t="shared" si="1"/>
        <v>0</v>
      </c>
      <c r="H100" s="496"/>
    </row>
    <row r="101" spans="1:8" x14ac:dyDescent="0.25">
      <c r="A101" s="513" t="s">
        <v>690</v>
      </c>
      <c r="B101" s="513"/>
      <c r="C101" s="495"/>
      <c r="D101" s="496">
        <f>[3]MOOE_Overall_General_Fund!$V$194</f>
        <v>0</v>
      </c>
      <c r="E101" s="496">
        <f>[3]MOOE_Overall_General_Fund!$V$354</f>
        <v>0</v>
      </c>
      <c r="F101" s="496">
        <f>[3]MOOE_Overall_General_Fund!$V$514</f>
        <v>0</v>
      </c>
      <c r="G101" s="496">
        <f t="shared" si="1"/>
        <v>0</v>
      </c>
      <c r="H101" s="496"/>
    </row>
    <row r="102" spans="1:8" x14ac:dyDescent="0.25">
      <c r="A102" s="513" t="s">
        <v>691</v>
      </c>
      <c r="B102" s="513"/>
      <c r="C102" s="495"/>
      <c r="D102" s="496">
        <f>[3]MOOE_Overall_General_Fund!$V$195</f>
        <v>0</v>
      </c>
      <c r="E102" s="496">
        <f>[3]MOOE_Overall_General_Fund!$V$355</f>
        <v>0</v>
      </c>
      <c r="F102" s="496">
        <f>[3]MOOE_Overall_General_Fund!$V$515</f>
        <v>0</v>
      </c>
      <c r="G102" s="496">
        <f t="shared" si="1"/>
        <v>0</v>
      </c>
      <c r="H102" s="496"/>
    </row>
    <row r="103" spans="1:8" x14ac:dyDescent="0.25">
      <c r="A103" s="513" t="s">
        <v>692</v>
      </c>
      <c r="B103" s="513"/>
      <c r="C103" s="495"/>
      <c r="D103" s="496">
        <f>[3]MOOE_Overall_General_Fund!$V$196</f>
        <v>0</v>
      </c>
      <c r="E103" s="496">
        <f>[3]MOOE_Overall_General_Fund!$V$356</f>
        <v>0</v>
      </c>
      <c r="F103" s="496">
        <f>[3]MOOE_Overall_General_Fund!$V$516</f>
        <v>0</v>
      </c>
      <c r="G103" s="496">
        <f t="shared" si="1"/>
        <v>0</v>
      </c>
      <c r="H103" s="496"/>
    </row>
    <row r="104" spans="1:8" x14ac:dyDescent="0.25">
      <c r="A104" s="513" t="s">
        <v>693</v>
      </c>
      <c r="B104" s="513"/>
      <c r="C104" s="495"/>
      <c r="D104" s="496">
        <f>[3]MOOE_Overall_General_Fund!$V$197</f>
        <v>0</v>
      </c>
      <c r="E104" s="496">
        <f>[3]MOOE_Overall_General_Fund!$V$357</f>
        <v>0</v>
      </c>
      <c r="F104" s="496">
        <f>[1]MOOE_Overall_General_Fund!$V$518</f>
        <v>43356.08</v>
      </c>
      <c r="G104" s="496">
        <f t="shared" ref="G104:G167" si="2">SUM(E104:F104)</f>
        <v>43356.08</v>
      </c>
      <c r="H104" s="496"/>
    </row>
    <row r="105" spans="1:8" x14ac:dyDescent="0.25">
      <c r="A105" s="513" t="s">
        <v>694</v>
      </c>
      <c r="B105" s="513"/>
      <c r="C105" s="495"/>
      <c r="D105" s="496">
        <f>[3]MOOE_Overall_General_Fund!$V$198</f>
        <v>0</v>
      </c>
      <c r="E105" s="496">
        <f>[3]MOOE_Overall_General_Fund!$V$358</f>
        <v>0</v>
      </c>
      <c r="F105" s="496">
        <f>[1]MOOE_Overall_General_Fund!$V$519</f>
        <v>39567.85</v>
      </c>
      <c r="G105" s="496">
        <f t="shared" si="2"/>
        <v>39567.85</v>
      </c>
      <c r="H105" s="496"/>
    </row>
    <row r="106" spans="1:8" x14ac:dyDescent="0.25">
      <c r="A106" s="513" t="s">
        <v>695</v>
      </c>
      <c r="B106" s="513"/>
      <c r="C106" s="495"/>
      <c r="D106" s="496">
        <f>[3]MOOE_Overall_General_Fund!$V$199</f>
        <v>0</v>
      </c>
      <c r="E106" s="496">
        <f>[3]MOOE_Overall_General_Fund!$V$359</f>
        <v>0</v>
      </c>
      <c r="F106" s="496">
        <f>[3]MOOE_Overall_General_Fund!$V$519</f>
        <v>0</v>
      </c>
      <c r="G106" s="496">
        <f t="shared" si="2"/>
        <v>0</v>
      </c>
      <c r="H106" s="496"/>
    </row>
    <row r="107" spans="1:8" x14ac:dyDescent="0.25">
      <c r="A107" s="513" t="s">
        <v>696</v>
      </c>
      <c r="B107" s="513"/>
      <c r="C107" s="495"/>
      <c r="D107" s="496">
        <f>[3]MOOE_Overall_General_Fund!$V$200</f>
        <v>0</v>
      </c>
      <c r="E107" s="496">
        <f>[1]MOOE_Overall_General_Fund!$V$361</f>
        <v>43200</v>
      </c>
      <c r="F107" s="496">
        <f>[1]MOOE_Overall_General_Fund!$V$521</f>
        <v>106800</v>
      </c>
      <c r="G107" s="496">
        <f t="shared" si="2"/>
        <v>150000</v>
      </c>
      <c r="H107" s="496"/>
    </row>
    <row r="108" spans="1:8" x14ac:dyDescent="0.25">
      <c r="A108" s="513" t="s">
        <v>697</v>
      </c>
      <c r="B108" s="513"/>
      <c r="C108" s="495"/>
      <c r="D108" s="496">
        <f>[3]MOOE_Overall_General_Fund!$V$201</f>
        <v>0</v>
      </c>
      <c r="E108" s="496">
        <f>[3]MOOE_Overall_General_Fund!$V$361</f>
        <v>0</v>
      </c>
      <c r="F108" s="496">
        <f>[1]MOOE_Overall_General_Fund!$V$522</f>
        <v>15000</v>
      </c>
      <c r="G108" s="496">
        <f t="shared" si="2"/>
        <v>15000</v>
      </c>
      <c r="H108" s="496"/>
    </row>
    <row r="109" spans="1:8" x14ac:dyDescent="0.25">
      <c r="A109" s="513" t="s">
        <v>698</v>
      </c>
      <c r="B109" s="513"/>
      <c r="C109" s="495"/>
      <c r="D109" s="496"/>
      <c r="E109" s="496">
        <f>[3]MOOE_Overall_General_Fund!$V$362</f>
        <v>0</v>
      </c>
      <c r="F109" s="496">
        <f>[3]MOOE_Overall_General_Fund!$V$522</f>
        <v>0</v>
      </c>
      <c r="G109" s="496">
        <f t="shared" si="2"/>
        <v>0</v>
      </c>
      <c r="H109" s="496"/>
    </row>
    <row r="110" spans="1:8" x14ac:dyDescent="0.25">
      <c r="A110" s="513" t="s">
        <v>699</v>
      </c>
      <c r="B110" s="513"/>
      <c r="C110" s="517"/>
      <c r="D110" s="496">
        <f>[3]MOOE_Overall_General_Fund!$V$203</f>
        <v>0</v>
      </c>
      <c r="E110" s="496">
        <f>[3]MOOE_Overall_General_Fund!$V$363</f>
        <v>0</v>
      </c>
      <c r="F110" s="496">
        <f>[3]MOOE_Overall_General_Fund!$V$523</f>
        <v>0</v>
      </c>
      <c r="G110" s="496">
        <f t="shared" si="2"/>
        <v>0</v>
      </c>
      <c r="H110" s="496"/>
    </row>
    <row r="111" spans="1:8" x14ac:dyDescent="0.25">
      <c r="A111" s="513" t="s">
        <v>700</v>
      </c>
      <c r="B111" s="513"/>
      <c r="C111" s="495"/>
      <c r="D111" s="496"/>
      <c r="E111" s="496">
        <f>[3]MOOE_Overall_General_Fund!$V$364</f>
        <v>0</v>
      </c>
      <c r="F111" s="496">
        <f>[3]MOOE_Overall_General_Fund!$V$524</f>
        <v>0</v>
      </c>
      <c r="G111" s="496">
        <f t="shared" si="2"/>
        <v>0</v>
      </c>
      <c r="H111" s="496">
        <f>'[4]MO(Misc.)'!$G$50</f>
        <v>250800</v>
      </c>
    </row>
    <row r="112" spans="1:8" x14ac:dyDescent="0.25">
      <c r="A112" s="513" t="s">
        <v>701</v>
      </c>
      <c r="B112" s="513"/>
      <c r="C112" s="517"/>
      <c r="D112" s="496">
        <f>[1]MOOE_Overall_General_Fund!$V$206</f>
        <v>0</v>
      </c>
      <c r="E112" s="496">
        <f>[3]MOOE_Overall_General_Fund!$V$365</f>
        <v>0</v>
      </c>
      <c r="F112" s="496">
        <v>0</v>
      </c>
      <c r="G112" s="496">
        <f t="shared" si="2"/>
        <v>0</v>
      </c>
      <c r="H112" s="496">
        <f>[3]MOOE_Overall_General_Fund!$V$85</f>
        <v>50000</v>
      </c>
    </row>
    <row r="113" spans="1:8" x14ac:dyDescent="0.25">
      <c r="A113" s="513" t="s">
        <v>702</v>
      </c>
      <c r="B113" s="513"/>
      <c r="C113" s="517"/>
      <c r="D113" s="496">
        <f>[1]MOOE_Overall_General_Fund!$V$207</f>
        <v>80504.91</v>
      </c>
      <c r="E113" s="496">
        <f>[1]MOOE_Overall_General_Fund!$V$367</f>
        <v>20000</v>
      </c>
      <c r="F113" s="496">
        <f>[1]MOOE_Overall_General_Fund!$V$527</f>
        <v>60504.91</v>
      </c>
      <c r="G113" s="496">
        <f t="shared" si="2"/>
        <v>80504.91</v>
      </c>
      <c r="H113" s="496">
        <f>[3]MOOE_Overall_General_Fund!$V$86</f>
        <v>0</v>
      </c>
    </row>
    <row r="114" spans="1:8" x14ac:dyDescent="0.25">
      <c r="A114" s="513" t="s">
        <v>703</v>
      </c>
      <c r="B114" s="513"/>
      <c r="C114" s="517"/>
      <c r="D114" s="496">
        <f>[3]MOOE_Overall_General_Fund!$V$207</f>
        <v>0</v>
      </c>
      <c r="E114" s="496">
        <f>[3]MOOE_Overall_General_Fund!$V$367</f>
        <v>0</v>
      </c>
      <c r="F114" s="496">
        <f>[3]MOOE_Overall_General_Fund!$V$527</f>
        <v>0</v>
      </c>
      <c r="G114" s="496">
        <f t="shared" si="2"/>
        <v>0</v>
      </c>
      <c r="H114" s="496">
        <f>[3]MOOE_Overall_General_Fund!$V$87</f>
        <v>15000</v>
      </c>
    </row>
    <row r="115" spans="1:8" x14ac:dyDescent="0.25">
      <c r="A115" s="513" t="s">
        <v>704</v>
      </c>
      <c r="B115" s="513"/>
      <c r="C115" s="517"/>
      <c r="D115" s="496">
        <f>[3]MOOE_Overall_General_Fund!$V$208</f>
        <v>0</v>
      </c>
      <c r="E115" s="496">
        <f>[3]MOOE_Overall_General_Fund!$V$368</f>
        <v>0</v>
      </c>
      <c r="F115" s="496">
        <f>[1]MOOE_Overall_General_Fund!$V$529</f>
        <v>2835</v>
      </c>
      <c r="G115" s="496">
        <f t="shared" si="2"/>
        <v>2835</v>
      </c>
      <c r="H115" s="496">
        <f>[3]MOOE_Overall_General_Fund!$V$88</f>
        <v>15000</v>
      </c>
    </row>
    <row r="116" spans="1:8" x14ac:dyDescent="0.25">
      <c r="A116" s="513" t="s">
        <v>705</v>
      </c>
      <c r="B116" s="513"/>
      <c r="C116" s="517"/>
      <c r="D116" s="496">
        <f>[3]MOOE_Overall_General_Fund!$V$209</f>
        <v>0</v>
      </c>
      <c r="E116" s="496">
        <f>[1]MOOE_Overall_General_Fund!$V$370</f>
        <v>2730</v>
      </c>
      <c r="F116" s="496">
        <f>[3]MOOE_Overall_General_Fund!$V$529</f>
        <v>0</v>
      </c>
      <c r="G116" s="496">
        <f t="shared" si="2"/>
        <v>2730</v>
      </c>
      <c r="H116" s="496">
        <f>[3]MOOE_Overall_General_Fund!$V$89</f>
        <v>15000</v>
      </c>
    </row>
    <row r="117" spans="1:8" x14ac:dyDescent="0.25">
      <c r="A117" s="513" t="s">
        <v>706</v>
      </c>
      <c r="B117" s="513"/>
      <c r="C117" s="517"/>
      <c r="D117" s="496"/>
      <c r="E117" s="496"/>
      <c r="F117" s="496">
        <f>[1]MOOE_Overall_General_Fund!$V$531</f>
        <v>91247.47</v>
      </c>
      <c r="G117" s="496">
        <f t="shared" si="2"/>
        <v>91247.47</v>
      </c>
      <c r="H117" s="496">
        <f>'[4]MO(Misc.)'!$G$62</f>
        <v>122000</v>
      </c>
    </row>
    <row r="118" spans="1:8" x14ac:dyDescent="0.25">
      <c r="A118" s="513" t="s">
        <v>707</v>
      </c>
      <c r="B118" s="513"/>
      <c r="C118" s="517"/>
      <c r="D118" s="496">
        <v>149807</v>
      </c>
      <c r="E118" s="496">
        <f>[1]MOOE_Overall_General_Fund!$V$372</f>
        <v>58297</v>
      </c>
      <c r="F118" s="496">
        <f>[1]MOOE_Overall_General_Fund!$V$532</f>
        <v>56487</v>
      </c>
      <c r="G118" s="496">
        <f t="shared" si="2"/>
        <v>114784</v>
      </c>
      <c r="H118" s="496">
        <f>[3]MOOE_Overall_General_Fund!$V$91</f>
        <v>100000</v>
      </c>
    </row>
    <row r="119" spans="1:8" x14ac:dyDescent="0.25">
      <c r="A119" s="513" t="s">
        <v>708</v>
      </c>
      <c r="B119" s="513"/>
      <c r="C119" s="517"/>
      <c r="D119" s="496">
        <f>[1]MOOE_Overall_General_Fund!$V$213</f>
        <v>1277250.33</v>
      </c>
      <c r="E119" s="496">
        <f>[1]MOOE_Overall_General_Fund!$V$373</f>
        <v>686290.56</v>
      </c>
      <c r="F119" s="496">
        <f>[1]MOOE_Overall_General_Fund!$V$533</f>
        <v>640245.34999999986</v>
      </c>
      <c r="G119" s="496">
        <f t="shared" si="2"/>
        <v>1326535.9099999999</v>
      </c>
      <c r="H119" s="496">
        <f>'[4]MO(Misc.)'!$G$64</f>
        <v>1000000</v>
      </c>
    </row>
    <row r="120" spans="1:8" x14ac:dyDescent="0.25">
      <c r="A120" s="513" t="s">
        <v>709</v>
      </c>
      <c r="B120" s="513"/>
      <c r="C120" s="495"/>
      <c r="D120" s="496">
        <f>[1]MOOE_Overall_General_Fund!$V$216</f>
        <v>250944.03</v>
      </c>
      <c r="E120" s="496">
        <f>[3]MOOE_Overall_General_Fund!$V$373</f>
        <v>0</v>
      </c>
      <c r="F120" s="496">
        <f>[1]MOOE_Overall_General_Fund!$V$534</f>
        <v>312925.55</v>
      </c>
      <c r="G120" s="496">
        <f t="shared" si="2"/>
        <v>312925.55</v>
      </c>
      <c r="H120" s="496">
        <f>[3]MOOE_Overall_General_Fund!$V$93</f>
        <v>385000</v>
      </c>
    </row>
    <row r="121" spans="1:8" x14ac:dyDescent="0.25">
      <c r="A121" s="513" t="s">
        <v>154</v>
      </c>
      <c r="B121" s="513"/>
      <c r="C121" s="495"/>
      <c r="D121" s="496">
        <f>[1]MOOE_Overall_General_Fund!$V$217</f>
        <v>289627.39</v>
      </c>
      <c r="E121" s="496">
        <f>[3]MOOE_Overall_General_Fund!$V$374</f>
        <v>0</v>
      </c>
      <c r="F121" s="496">
        <f>[1]MOOE_Overall_General_Fund!$V$535</f>
        <v>336461.19</v>
      </c>
      <c r="G121" s="496">
        <f t="shared" si="2"/>
        <v>336461.19</v>
      </c>
      <c r="H121" s="496">
        <f>[3]MOOE_Overall_General_Fund!$V$94</f>
        <v>285000</v>
      </c>
    </row>
    <row r="122" spans="1:8" x14ac:dyDescent="0.25">
      <c r="A122" s="513" t="s">
        <v>155</v>
      </c>
      <c r="B122" s="511" t="s">
        <v>669</v>
      </c>
      <c r="C122" s="495"/>
      <c r="D122" s="496">
        <v>50000</v>
      </c>
      <c r="E122" s="496">
        <f>[3]MOOE_Overall_General_Fund!$V$377</f>
        <v>0</v>
      </c>
      <c r="F122" s="496">
        <f>[1]MOOE_Overall_General_Fund!$V$536</f>
        <v>112430</v>
      </c>
      <c r="G122" s="496">
        <f t="shared" si="2"/>
        <v>112430</v>
      </c>
      <c r="H122" s="496"/>
    </row>
    <row r="123" spans="1:8" x14ac:dyDescent="0.25">
      <c r="A123" s="513" t="s">
        <v>710</v>
      </c>
      <c r="B123" s="511" t="s">
        <v>669</v>
      </c>
      <c r="C123" s="517"/>
      <c r="D123" s="496">
        <f>[3]MOOE_Overall_General_Fund!$V$218</f>
        <v>0</v>
      </c>
      <c r="E123" s="496">
        <f>[1]MOOE_Overall_General_Fund!$V$379</f>
        <v>27464.68</v>
      </c>
      <c r="F123" s="496">
        <f>[3]MOOE_Overall_General_Fund!$V$538</f>
        <v>0</v>
      </c>
      <c r="G123" s="496">
        <f t="shared" si="2"/>
        <v>27464.68</v>
      </c>
      <c r="H123" s="496"/>
    </row>
    <row r="124" spans="1:8" x14ac:dyDescent="0.25">
      <c r="A124" s="132" t="s">
        <v>711</v>
      </c>
      <c r="B124" s="511" t="s">
        <v>669</v>
      </c>
      <c r="C124" s="518"/>
      <c r="D124" s="496">
        <v>356400</v>
      </c>
      <c r="E124" s="496">
        <f>[1]MOOE_Overall_General_Fund!$V$380</f>
        <v>184800</v>
      </c>
      <c r="F124" s="496">
        <f>[1]MOOE_Overall_General_Fund!$V$540</f>
        <v>278300</v>
      </c>
      <c r="G124" s="496">
        <f t="shared" si="2"/>
        <v>463100</v>
      </c>
      <c r="H124" s="496"/>
    </row>
    <row r="125" spans="1:8" x14ac:dyDescent="0.25">
      <c r="A125" s="132" t="s">
        <v>136</v>
      </c>
      <c r="B125" s="132"/>
      <c r="C125" s="495"/>
      <c r="D125" s="496"/>
      <c r="E125" s="496">
        <f>[1]MOOE_Overall_General_Fund!$V$381</f>
        <v>22400</v>
      </c>
      <c r="F125" s="496">
        <f>[1]MOOE_Overall_General_Fund!$V$541</f>
        <v>25400</v>
      </c>
      <c r="G125" s="496">
        <f t="shared" si="2"/>
        <v>47800</v>
      </c>
      <c r="H125" s="496">
        <f>[3]MOOE_Overall_General_Fund!$V$98</f>
        <v>65000</v>
      </c>
    </row>
    <row r="126" spans="1:8" x14ac:dyDescent="0.25">
      <c r="A126" s="132" t="s">
        <v>712</v>
      </c>
      <c r="B126" s="132"/>
      <c r="C126" s="518"/>
      <c r="D126" s="496"/>
      <c r="E126" s="496">
        <f>[3]MOOE_Overall_General_Fund!$V$381</f>
        <v>0</v>
      </c>
      <c r="F126" s="496">
        <f>[1]MOOE_Overall_General_Fund!$V$542</f>
        <v>269390</v>
      </c>
      <c r="G126" s="496">
        <f t="shared" si="2"/>
        <v>269390</v>
      </c>
      <c r="H126" s="496"/>
    </row>
    <row r="127" spans="1:8" x14ac:dyDescent="0.25">
      <c r="A127" s="519" t="s">
        <v>138</v>
      </c>
      <c r="B127" s="519"/>
      <c r="C127" s="517"/>
      <c r="D127" s="496">
        <f>[3]MOOE_Overall_General_Fund!$V$222</f>
        <v>0</v>
      </c>
      <c r="E127" s="496">
        <f>[1]MOOE_Overall_General_Fund!$V$383</f>
        <v>287920</v>
      </c>
      <c r="F127" s="496">
        <f>[1]MOOE_Overall_General_Fund!$V$543</f>
        <v>278610</v>
      </c>
      <c r="G127" s="496">
        <f t="shared" si="2"/>
        <v>566530</v>
      </c>
      <c r="H127" s="496">
        <f>[3]MOOE_Overall_General_Fund!$V$100</f>
        <v>600000</v>
      </c>
    </row>
    <row r="128" spans="1:8" x14ac:dyDescent="0.25">
      <c r="A128" s="519" t="s">
        <v>713</v>
      </c>
      <c r="B128" s="519" t="s">
        <v>714</v>
      </c>
      <c r="C128" s="517"/>
      <c r="D128" s="496">
        <v>422750</v>
      </c>
      <c r="E128" s="496">
        <f>[1]MOOE_Overall_General_Fund!$V$384</f>
        <v>121750</v>
      </c>
      <c r="F128" s="496">
        <f>[1]MOOE_Overall_General_Fund!$V$544</f>
        <v>379613</v>
      </c>
      <c r="G128" s="496">
        <f t="shared" si="2"/>
        <v>501363</v>
      </c>
      <c r="H128" s="496">
        <f>[3]MOOE_Overall_General_Fund!$V$101</f>
        <v>380000</v>
      </c>
    </row>
    <row r="129" spans="1:8" x14ac:dyDescent="0.25">
      <c r="A129" s="520" t="s">
        <v>715</v>
      </c>
      <c r="B129" s="511" t="s">
        <v>669</v>
      </c>
      <c r="C129" s="495"/>
      <c r="D129" s="496">
        <v>146359.25</v>
      </c>
      <c r="E129" s="496">
        <f>[1]MOOE_Overall_General_Fund!$V$385</f>
        <v>149450</v>
      </c>
      <c r="F129" s="496">
        <f>[1]MOOE_Overall_General_Fund!$V$545</f>
        <v>149450</v>
      </c>
      <c r="G129" s="496">
        <f t="shared" si="2"/>
        <v>298900</v>
      </c>
      <c r="H129" s="496">
        <f>[3]MOOE_Overall_General_Fund!$V$102</f>
        <v>150000</v>
      </c>
    </row>
    <row r="130" spans="1:8" x14ac:dyDescent="0.25">
      <c r="A130" s="521" t="s">
        <v>139</v>
      </c>
      <c r="B130" s="521"/>
      <c r="C130" s="522"/>
      <c r="D130" s="496">
        <v>100800</v>
      </c>
      <c r="E130" s="496">
        <f>[1]MOOE_Overall_General_Fund!$V$386</f>
        <v>42000</v>
      </c>
      <c r="F130" s="496">
        <f>[1]MOOE_Overall_General_Fund!$V$546</f>
        <v>58800</v>
      </c>
      <c r="G130" s="496">
        <f t="shared" si="2"/>
        <v>100800</v>
      </c>
      <c r="H130" s="496">
        <f>[3]MOOE_Overall_General_Fund!$V$103</f>
        <v>100800</v>
      </c>
    </row>
    <row r="131" spans="1:8" x14ac:dyDescent="0.25">
      <c r="A131" s="521" t="s">
        <v>140</v>
      </c>
      <c r="B131" s="521"/>
      <c r="C131" s="517"/>
      <c r="D131" s="496">
        <v>69300</v>
      </c>
      <c r="E131" s="496">
        <f>[1]MOOE_Overall_General_Fund!$V$387</f>
        <v>31500</v>
      </c>
      <c r="F131" s="496">
        <f>[1]MOOE_Overall_General_Fund!$V$547</f>
        <v>40500</v>
      </c>
      <c r="G131" s="496">
        <f t="shared" si="2"/>
        <v>72000</v>
      </c>
      <c r="H131" s="496">
        <f>[3]MOOE_Overall_General_Fund!$V$104</f>
        <v>72000</v>
      </c>
    </row>
    <row r="132" spans="1:8" x14ac:dyDescent="0.25">
      <c r="A132" s="521" t="s">
        <v>141</v>
      </c>
      <c r="B132" s="521"/>
      <c r="C132" s="517"/>
      <c r="D132" s="496">
        <f>[3]MOOE_Overall_General_Fund!$V$227</f>
        <v>0</v>
      </c>
      <c r="E132" s="496">
        <f>[3]MOOE_Overall_General_Fund!$V$387</f>
        <v>0</v>
      </c>
      <c r="F132" s="496">
        <f>[1]MOOE_Overall_General_Fund!$V$548</f>
        <v>0</v>
      </c>
      <c r="G132" s="496">
        <f t="shared" si="2"/>
        <v>0</v>
      </c>
      <c r="H132" s="496">
        <f>[3]MOOE_Overall_General_Fund!$V$107</f>
        <v>15000</v>
      </c>
    </row>
    <row r="133" spans="1:8" x14ac:dyDescent="0.25">
      <c r="A133" s="521" t="s">
        <v>142</v>
      </c>
      <c r="B133" s="521"/>
      <c r="C133" s="523"/>
      <c r="D133" s="496">
        <f>[3]MOOE_Overall_General_Fund!$V$228</f>
        <v>0</v>
      </c>
      <c r="E133" s="496">
        <f>[3]MOOE_Overall_General_Fund!$V$388</f>
        <v>0</v>
      </c>
      <c r="F133" s="496">
        <f>[3]MOOE_Overall_General_Fund!$V$548</f>
        <v>0</v>
      </c>
      <c r="G133" s="496">
        <f t="shared" si="2"/>
        <v>0</v>
      </c>
      <c r="H133" s="496">
        <f>[3]MOOE_Overall_General_Fund!$V$108</f>
        <v>15000</v>
      </c>
    </row>
    <row r="134" spans="1:8" x14ac:dyDescent="0.25">
      <c r="A134" s="521" t="s">
        <v>716</v>
      </c>
      <c r="B134" s="521"/>
      <c r="C134" s="516"/>
      <c r="D134" s="496">
        <v>121350</v>
      </c>
      <c r="E134" s="496">
        <f>[1]MOOE_Overall_General_Fund!$V$390</f>
        <v>43200</v>
      </c>
      <c r="F134" s="496">
        <f>[1]MOOE_Overall_General_Fund!$V$550</f>
        <v>106800</v>
      </c>
      <c r="G134" s="496">
        <f t="shared" si="2"/>
        <v>150000</v>
      </c>
      <c r="H134" s="496"/>
    </row>
    <row r="135" spans="1:8" x14ac:dyDescent="0.25">
      <c r="A135" s="521" t="s">
        <v>717</v>
      </c>
      <c r="B135" s="521"/>
      <c r="C135" s="517"/>
      <c r="D135" s="496"/>
      <c r="E135" s="496">
        <f>[1]MOOE_Overall_General_Fund!$V$391</f>
        <v>194149.2</v>
      </c>
      <c r="F135" s="496">
        <f>[1]MOOE_Overall_General_Fund!$V$551</f>
        <v>389292.79999999999</v>
      </c>
      <c r="G135" s="496">
        <f t="shared" si="2"/>
        <v>583442</v>
      </c>
      <c r="H135" s="496"/>
    </row>
    <row r="136" spans="1:8" x14ac:dyDescent="0.25">
      <c r="A136" s="508" t="s">
        <v>161</v>
      </c>
      <c r="B136" s="508"/>
      <c r="C136" s="517"/>
      <c r="D136" s="496">
        <v>114000</v>
      </c>
      <c r="E136" s="496">
        <f>[1]MOOE_Overall_General_Fund!$V$392</f>
        <v>6500</v>
      </c>
      <c r="F136" s="496">
        <f>[1]MOOE_Overall_General_Fund!$V$552</f>
        <v>25500</v>
      </c>
      <c r="G136" s="496">
        <f t="shared" si="2"/>
        <v>32000</v>
      </c>
      <c r="H136" s="496">
        <f>[3]MOOE_Overall_General_Fund!$V$111</f>
        <v>50000</v>
      </c>
    </row>
    <row r="137" spans="1:8" x14ac:dyDescent="0.25">
      <c r="A137" s="498" t="s">
        <v>166</v>
      </c>
      <c r="B137" s="498"/>
      <c r="C137" s="517"/>
      <c r="D137" s="496">
        <f>[3]MOOE_Overall_General_Fund!$V$232</f>
        <v>0</v>
      </c>
      <c r="E137" s="496">
        <f>[3]MOOE_Overall_General_Fund!$V$392</f>
        <v>0</v>
      </c>
      <c r="F137" s="496">
        <f>[1]MOOE_Overall_General_Fund!$V$553</f>
        <v>50000</v>
      </c>
      <c r="G137" s="496">
        <f t="shared" si="2"/>
        <v>50000</v>
      </c>
      <c r="H137" s="496">
        <f>[3]MOOE_Overall_General_Fund!$V$112</f>
        <v>50000</v>
      </c>
    </row>
    <row r="138" spans="1:8" x14ac:dyDescent="0.25">
      <c r="A138" s="161" t="s">
        <v>162</v>
      </c>
      <c r="B138" s="161"/>
      <c r="C138" s="517"/>
      <c r="D138" s="496">
        <f>[1]MOOE_Overall_General_Fund!$V$234</f>
        <v>210755.8</v>
      </c>
      <c r="E138" s="496">
        <f>[1]MOOE_Overall_General_Fund!$V$394</f>
        <v>116430</v>
      </c>
      <c r="F138" s="496">
        <f>[1]MOOE_Overall_General_Fund!$V$554</f>
        <v>106030</v>
      </c>
      <c r="G138" s="496">
        <f t="shared" si="2"/>
        <v>222460</v>
      </c>
      <c r="H138" s="496">
        <f>[3]MOOE_Overall_General_Fund!$V$113</f>
        <v>225000</v>
      </c>
    </row>
    <row r="139" spans="1:8" x14ac:dyDescent="0.25">
      <c r="A139" s="498" t="s">
        <v>718</v>
      </c>
      <c r="B139" s="498"/>
      <c r="C139" s="517"/>
      <c r="D139" s="496">
        <f>[1]MOOE_Overall_General_Fund!$V$235</f>
        <v>50000</v>
      </c>
      <c r="E139" s="496">
        <f>[1]MOOE_Overall_General_Fund!$V$395</f>
        <v>40000</v>
      </c>
      <c r="F139" s="496">
        <f>[1]MOOE_Overall_General_Fund!$V$555</f>
        <v>0</v>
      </c>
      <c r="G139" s="496">
        <f t="shared" si="2"/>
        <v>40000</v>
      </c>
      <c r="H139" s="496">
        <f>[3]MOOE_Overall_General_Fund!$V$114</f>
        <v>50000</v>
      </c>
    </row>
    <row r="140" spans="1:8" x14ac:dyDescent="0.25">
      <c r="A140" s="498" t="s">
        <v>719</v>
      </c>
      <c r="B140" s="498"/>
      <c r="C140" s="517"/>
      <c r="D140" s="496">
        <f>[1]MOOE_Overall_General_Fund!$V$236</f>
        <v>0</v>
      </c>
      <c r="E140" s="496">
        <f>[1]MOOE_Overall_General_Fund!$V$396</f>
        <v>32400</v>
      </c>
      <c r="F140" s="496">
        <f>[1]MOOE_Overall_General_Fund!$V$556</f>
        <v>24910</v>
      </c>
      <c r="G140" s="496">
        <f t="shared" si="2"/>
        <v>57310</v>
      </c>
      <c r="H140" s="496">
        <f>[3]MOOE_Overall_General_Fund!$V$115</f>
        <v>70000</v>
      </c>
    </row>
    <row r="141" spans="1:8" x14ac:dyDescent="0.25">
      <c r="A141" s="514" t="s">
        <v>720</v>
      </c>
      <c r="B141" s="514"/>
      <c r="C141" s="517"/>
      <c r="D141" s="496">
        <v>842250.65</v>
      </c>
      <c r="E141" s="496"/>
      <c r="F141" s="496">
        <v>0</v>
      </c>
      <c r="G141" s="496">
        <f t="shared" si="2"/>
        <v>0</v>
      </c>
      <c r="H141" s="524"/>
    </row>
    <row r="142" spans="1:8" x14ac:dyDescent="0.25">
      <c r="A142" s="513" t="s">
        <v>721</v>
      </c>
      <c r="B142" s="513"/>
      <c r="C142" s="517"/>
      <c r="D142" s="496">
        <f>[3]MOOE_Overall_General_Fund!$V$238</f>
        <v>0</v>
      </c>
      <c r="E142" s="496">
        <f>[3]MOOE_Overall_General_Fund!$V$398</f>
        <v>0</v>
      </c>
      <c r="F142" s="496">
        <f>[3]MOOE_Overall_General_Fund!$V$558</f>
        <v>0</v>
      </c>
      <c r="G142" s="496">
        <f t="shared" si="2"/>
        <v>0</v>
      </c>
      <c r="H142" s="524"/>
    </row>
    <row r="143" spans="1:8" x14ac:dyDescent="0.25">
      <c r="A143" s="513" t="s">
        <v>722</v>
      </c>
      <c r="B143" s="513"/>
      <c r="C143" s="517"/>
      <c r="D143" s="496">
        <f>[3]MOOE_Overall_General_Fund!$V$239</f>
        <v>0</v>
      </c>
      <c r="E143" s="496">
        <f>[3]MOOE_Overall_General_Fund!$V$399</f>
        <v>0</v>
      </c>
      <c r="F143" s="496">
        <f>[3]MOOE_Overall_General_Fund!$V$559</f>
        <v>0</v>
      </c>
      <c r="G143" s="496">
        <f t="shared" si="2"/>
        <v>0</v>
      </c>
      <c r="H143" s="524"/>
    </row>
    <row r="144" spans="1:8" x14ac:dyDescent="0.25">
      <c r="A144" s="513" t="s">
        <v>723</v>
      </c>
      <c r="B144" s="513"/>
      <c r="C144" s="517"/>
      <c r="D144" s="496">
        <f>[3]MOOE_Overall_General_Fund!$V$240</f>
        <v>0</v>
      </c>
      <c r="E144" s="496">
        <f>[3]MOOE_Overall_General_Fund!$V$400</f>
        <v>0</v>
      </c>
      <c r="F144" s="496">
        <f>[3]MOOE_Overall_General_Fund!$V$560</f>
        <v>0</v>
      </c>
      <c r="G144" s="496">
        <f t="shared" si="2"/>
        <v>0</v>
      </c>
      <c r="H144" s="524"/>
    </row>
    <row r="145" spans="1:8" x14ac:dyDescent="0.25">
      <c r="A145" s="513" t="s">
        <v>724</v>
      </c>
      <c r="B145" s="513"/>
      <c r="C145" s="517"/>
      <c r="D145" s="496">
        <f>[3]MOOE_Overall_General_Fund!$V$241</f>
        <v>0</v>
      </c>
      <c r="E145" s="496">
        <f>[3]MOOE_Overall_General_Fund!$V$401</f>
        <v>0</v>
      </c>
      <c r="F145" s="496">
        <f>[3]MOOE_Overall_General_Fund!$V$561</f>
        <v>0</v>
      </c>
      <c r="G145" s="496">
        <f t="shared" si="2"/>
        <v>0</v>
      </c>
      <c r="H145" s="524"/>
    </row>
    <row r="146" spans="1:8" x14ac:dyDescent="0.25">
      <c r="A146" s="513" t="s">
        <v>725</v>
      </c>
      <c r="B146" s="513"/>
      <c r="C146" s="517"/>
      <c r="D146" s="496">
        <f>[3]MOOE_Overall_General_Fund!$V$242</f>
        <v>0</v>
      </c>
      <c r="E146" s="496">
        <f>[3]MOOE_Overall_General_Fund!$V$402</f>
        <v>0</v>
      </c>
      <c r="F146" s="496">
        <f>[3]MOOE_Overall_General_Fund!$V$562</f>
        <v>0</v>
      </c>
      <c r="G146" s="496">
        <f t="shared" si="2"/>
        <v>0</v>
      </c>
      <c r="H146" s="524"/>
    </row>
    <row r="147" spans="1:8" x14ac:dyDescent="0.25">
      <c r="A147" s="513" t="s">
        <v>726</v>
      </c>
      <c r="B147" s="513"/>
      <c r="C147" s="517"/>
      <c r="D147" s="496">
        <f>[3]MOOE_Overall_General_Fund!$V$243</f>
        <v>0</v>
      </c>
      <c r="E147" s="496">
        <f>[3]MOOE_Overall_General_Fund!$V$403</f>
        <v>0</v>
      </c>
      <c r="F147" s="496">
        <f>[3]MOOE_Overall_General_Fund!$V$563</f>
        <v>0</v>
      </c>
      <c r="G147" s="496">
        <f t="shared" si="2"/>
        <v>0</v>
      </c>
      <c r="H147" s="524"/>
    </row>
    <row r="148" spans="1:8" x14ac:dyDescent="0.25">
      <c r="A148" s="236" t="s">
        <v>727</v>
      </c>
      <c r="B148" s="236"/>
      <c r="C148" s="517"/>
      <c r="D148" s="496">
        <v>87050</v>
      </c>
      <c r="E148" s="496"/>
      <c r="F148" s="496">
        <f>[3]MOOE_Overall_General_Fund!$V$563</f>
        <v>0</v>
      </c>
      <c r="G148" s="496">
        <f t="shared" si="2"/>
        <v>0</v>
      </c>
      <c r="H148" s="524"/>
    </row>
    <row r="149" spans="1:8" x14ac:dyDescent="0.25">
      <c r="A149" s="236" t="s">
        <v>728</v>
      </c>
      <c r="B149" s="236"/>
      <c r="C149" s="517"/>
      <c r="D149" s="496"/>
      <c r="E149" s="496"/>
      <c r="F149" s="496">
        <f>[3]MOOE_Overall_General_Fund!$V$563</f>
        <v>0</v>
      </c>
      <c r="G149" s="496">
        <f t="shared" si="2"/>
        <v>0</v>
      </c>
      <c r="H149" s="524"/>
    </row>
    <row r="150" spans="1:8" x14ac:dyDescent="0.25">
      <c r="A150" s="236" t="s">
        <v>729</v>
      </c>
      <c r="B150" s="236"/>
      <c r="C150" s="517"/>
      <c r="D150" s="496">
        <v>157520</v>
      </c>
      <c r="E150" s="496"/>
      <c r="F150" s="496">
        <f>[3]MOOE_Overall_General_Fund!$V$563</f>
        <v>0</v>
      </c>
      <c r="G150" s="496">
        <f t="shared" si="2"/>
        <v>0</v>
      </c>
      <c r="H150" s="524"/>
    </row>
    <row r="151" spans="1:8" x14ac:dyDescent="0.25">
      <c r="A151" s="236" t="s">
        <v>730</v>
      </c>
      <c r="B151" s="236"/>
      <c r="C151" s="517"/>
      <c r="D151" s="496">
        <v>25200</v>
      </c>
      <c r="E151" s="496"/>
      <c r="F151" s="496">
        <f>[3]MOOE_Overall_General_Fund!$V$563</f>
        <v>0</v>
      </c>
      <c r="G151" s="496">
        <f t="shared" si="2"/>
        <v>0</v>
      </c>
      <c r="H151" s="524"/>
    </row>
    <row r="152" spans="1:8" x14ac:dyDescent="0.25">
      <c r="A152" s="236" t="s">
        <v>731</v>
      </c>
      <c r="B152" s="236"/>
      <c r="C152" s="517"/>
      <c r="D152" s="496"/>
      <c r="E152" s="496">
        <f>[3]MOOE_Overall_General_Fund!$V$408</f>
        <v>0</v>
      </c>
      <c r="F152" s="496">
        <f>[3]MOOE_Overall_General_Fund!$V$563</f>
        <v>0</v>
      </c>
      <c r="G152" s="496">
        <f t="shared" si="2"/>
        <v>0</v>
      </c>
      <c r="H152" s="524"/>
    </row>
    <row r="153" spans="1:8" x14ac:dyDescent="0.25">
      <c r="A153" s="236" t="s">
        <v>732</v>
      </c>
      <c r="B153" s="236"/>
      <c r="C153" s="517"/>
      <c r="D153" s="496">
        <f>[3]MOOE_Overall_General_Fund!$V$249</f>
        <v>25200</v>
      </c>
      <c r="E153" s="496"/>
      <c r="F153" s="496">
        <f>[3]MOOE_Overall_General_Fund!$V$563</f>
        <v>0</v>
      </c>
      <c r="G153" s="496">
        <f t="shared" si="2"/>
        <v>0</v>
      </c>
      <c r="H153" s="524"/>
    </row>
    <row r="154" spans="1:8" x14ac:dyDescent="0.25">
      <c r="A154" s="236" t="s">
        <v>733</v>
      </c>
      <c r="B154" s="236"/>
      <c r="C154" s="517"/>
      <c r="D154" s="496">
        <v>24000</v>
      </c>
      <c r="E154" s="496"/>
      <c r="F154" s="496">
        <f>[3]MOOE_Overall_General_Fund!$V$563</f>
        <v>0</v>
      </c>
      <c r="G154" s="496">
        <f t="shared" si="2"/>
        <v>0</v>
      </c>
      <c r="H154" s="524"/>
    </row>
    <row r="155" spans="1:8" x14ac:dyDescent="0.25">
      <c r="A155" s="236" t="s">
        <v>734</v>
      </c>
      <c r="B155" s="236"/>
      <c r="C155" s="517"/>
      <c r="D155" s="496">
        <v>157200</v>
      </c>
      <c r="E155" s="496"/>
      <c r="F155" s="496">
        <f>[3]MOOE_Overall_General_Fund!$V$563</f>
        <v>0</v>
      </c>
      <c r="G155" s="496">
        <f t="shared" si="2"/>
        <v>0</v>
      </c>
      <c r="H155" s="524"/>
    </row>
    <row r="156" spans="1:8" x14ac:dyDescent="0.25">
      <c r="A156" s="236" t="s">
        <v>735</v>
      </c>
      <c r="B156" s="236"/>
      <c r="C156" s="517"/>
      <c r="D156" s="496">
        <v>54800</v>
      </c>
      <c r="E156" s="496"/>
      <c r="F156" s="496">
        <f>[3]MOOE_Overall_General_Fund!$V$563</f>
        <v>0</v>
      </c>
      <c r="G156" s="496">
        <f t="shared" si="2"/>
        <v>0</v>
      </c>
      <c r="H156" s="524"/>
    </row>
    <row r="157" spans="1:8" x14ac:dyDescent="0.25">
      <c r="A157" s="236" t="s">
        <v>736</v>
      </c>
      <c r="B157" s="236"/>
      <c r="C157" s="517"/>
      <c r="D157" s="496">
        <v>15402.57</v>
      </c>
      <c r="E157" s="496"/>
      <c r="F157" s="496">
        <f>[3]MOOE_Overall_General_Fund!$V$563</f>
        <v>0</v>
      </c>
      <c r="G157" s="496">
        <f t="shared" si="2"/>
        <v>0</v>
      </c>
      <c r="H157" s="524"/>
    </row>
    <row r="158" spans="1:8" x14ac:dyDescent="0.25">
      <c r="A158" s="236" t="s">
        <v>737</v>
      </c>
      <c r="B158" s="236"/>
      <c r="C158" s="517"/>
      <c r="D158" s="496">
        <v>58785</v>
      </c>
      <c r="E158" s="496"/>
      <c r="F158" s="496">
        <f>[3]MOOE_Overall_General_Fund!$V$563</f>
        <v>0</v>
      </c>
      <c r="G158" s="496">
        <f t="shared" si="2"/>
        <v>0</v>
      </c>
      <c r="H158" s="524"/>
    </row>
    <row r="159" spans="1:8" x14ac:dyDescent="0.25">
      <c r="A159" s="236" t="s">
        <v>738</v>
      </c>
      <c r="B159" s="236"/>
      <c r="C159" s="517"/>
      <c r="D159" s="496">
        <v>337062.66</v>
      </c>
      <c r="E159" s="496"/>
      <c r="F159" s="496">
        <f>[3]MOOE_Overall_General_Fund!$V$563</f>
        <v>0</v>
      </c>
      <c r="G159" s="496">
        <f t="shared" si="2"/>
        <v>0</v>
      </c>
      <c r="H159" s="524"/>
    </row>
    <row r="160" spans="1:8" x14ac:dyDescent="0.25">
      <c r="A160" s="236" t="s">
        <v>739</v>
      </c>
      <c r="B160" s="236"/>
      <c r="C160" s="517"/>
      <c r="D160" s="496">
        <v>119880</v>
      </c>
      <c r="E160" s="496"/>
      <c r="F160" s="496">
        <f>[3]MOOE_Overall_General_Fund!$V$563</f>
        <v>0</v>
      </c>
      <c r="G160" s="496">
        <f t="shared" si="2"/>
        <v>0</v>
      </c>
      <c r="H160" s="524"/>
    </row>
    <row r="161" spans="1:8" x14ac:dyDescent="0.25">
      <c r="A161" s="519" t="s">
        <v>740</v>
      </c>
      <c r="B161" s="519"/>
      <c r="C161" s="517"/>
      <c r="D161" s="496">
        <v>175874</v>
      </c>
      <c r="E161" s="496"/>
      <c r="F161" s="496">
        <f>[3]MOOE_Overall_General_Fund!$V$563</f>
        <v>0</v>
      </c>
      <c r="G161" s="496">
        <f t="shared" si="2"/>
        <v>0</v>
      </c>
      <c r="H161" s="524"/>
    </row>
    <row r="162" spans="1:8" x14ac:dyDescent="0.25">
      <c r="A162" s="519" t="s">
        <v>741</v>
      </c>
      <c r="B162" s="519"/>
      <c r="C162" s="517"/>
      <c r="D162" s="496">
        <v>5950</v>
      </c>
      <c r="E162" s="496">
        <f>[3]MOOE_Overall_General_Fund!$V$418</f>
        <v>0</v>
      </c>
      <c r="F162" s="496">
        <f>[3]MOOE_Overall_General_Fund!$V$563</f>
        <v>0</v>
      </c>
      <c r="G162" s="496">
        <f t="shared" si="2"/>
        <v>0</v>
      </c>
      <c r="H162" s="524"/>
    </row>
    <row r="163" spans="1:8" x14ac:dyDescent="0.25">
      <c r="A163" s="236" t="s">
        <v>742</v>
      </c>
      <c r="B163" s="236"/>
      <c r="C163" s="517"/>
      <c r="D163" s="496">
        <v>219247.37</v>
      </c>
      <c r="E163" s="496"/>
      <c r="F163" s="496">
        <f>[3]MOOE_Overall_General_Fund!$V$563</f>
        <v>0</v>
      </c>
      <c r="G163" s="496">
        <f t="shared" si="2"/>
        <v>0</v>
      </c>
      <c r="H163" s="524"/>
    </row>
    <row r="164" spans="1:8" x14ac:dyDescent="0.25">
      <c r="A164" s="236" t="s">
        <v>743</v>
      </c>
      <c r="B164" s="236"/>
      <c r="C164" s="517"/>
      <c r="D164" s="496">
        <v>494447.77</v>
      </c>
      <c r="E164" s="496"/>
      <c r="F164" s="496">
        <f>[3]MOOE_Overall_General_Fund!$V$563</f>
        <v>0</v>
      </c>
      <c r="G164" s="496">
        <f t="shared" si="2"/>
        <v>0</v>
      </c>
      <c r="H164" s="524"/>
    </row>
    <row r="165" spans="1:8" x14ac:dyDescent="0.25">
      <c r="A165" s="519" t="s">
        <v>744</v>
      </c>
      <c r="B165" s="519"/>
      <c r="C165" s="517"/>
      <c r="D165" s="496">
        <v>1330077.06</v>
      </c>
      <c r="E165" s="496"/>
      <c r="F165" s="496">
        <f>[3]MOOE_Overall_General_Fund!$V$563</f>
        <v>0</v>
      </c>
      <c r="G165" s="496">
        <f t="shared" si="2"/>
        <v>0</v>
      </c>
      <c r="H165" s="524"/>
    </row>
    <row r="166" spans="1:8" x14ac:dyDescent="0.25">
      <c r="A166" s="236" t="s">
        <v>745</v>
      </c>
      <c r="B166" s="236"/>
      <c r="C166" s="517"/>
      <c r="D166" s="496">
        <v>130040</v>
      </c>
      <c r="E166" s="496"/>
      <c r="F166" s="496">
        <f>[3]MOOE_Overall_General_Fund!$V$563</f>
        <v>0</v>
      </c>
      <c r="G166" s="496">
        <f t="shared" si="2"/>
        <v>0</v>
      </c>
      <c r="H166" s="524"/>
    </row>
    <row r="167" spans="1:8" x14ac:dyDescent="0.25">
      <c r="A167" s="236" t="s">
        <v>746</v>
      </c>
      <c r="B167" s="236"/>
      <c r="C167" s="517"/>
      <c r="D167" s="496">
        <v>70800</v>
      </c>
      <c r="E167" s="496"/>
      <c r="F167" s="496">
        <f>[3]MOOE_Overall_General_Fund!$V$583</f>
        <v>0</v>
      </c>
      <c r="G167" s="496">
        <f t="shared" si="2"/>
        <v>0</v>
      </c>
      <c r="H167" s="524"/>
    </row>
    <row r="168" spans="1:8" x14ac:dyDescent="0.25">
      <c r="A168" s="236" t="s">
        <v>747</v>
      </c>
      <c r="B168" s="236"/>
      <c r="C168" s="517"/>
      <c r="D168" s="496"/>
      <c r="E168" s="496">
        <f>[3]MOOE_Overall_General_Fund!$V$424</f>
        <v>0</v>
      </c>
      <c r="F168" s="496">
        <f>[3]MOOE_Overall_General_Fund!$V$583</f>
        <v>0</v>
      </c>
      <c r="G168" s="496">
        <f t="shared" ref="G168:G179" si="3">SUM(E168:F168)</f>
        <v>0</v>
      </c>
      <c r="H168" s="524"/>
    </row>
    <row r="169" spans="1:8" x14ac:dyDescent="0.25">
      <c r="A169" s="236" t="s">
        <v>748</v>
      </c>
      <c r="B169" s="236"/>
      <c r="C169" s="517"/>
      <c r="D169" s="496">
        <v>605321.65</v>
      </c>
      <c r="E169" s="496"/>
      <c r="F169" s="496">
        <f>[3]MOOE_Overall_General_Fund!$V$583</f>
        <v>0</v>
      </c>
      <c r="G169" s="496">
        <f t="shared" si="3"/>
        <v>0</v>
      </c>
      <c r="H169" s="524"/>
    </row>
    <row r="170" spans="1:8" x14ac:dyDescent="0.25">
      <c r="A170" s="236" t="s">
        <v>749</v>
      </c>
      <c r="B170" s="236"/>
      <c r="C170" s="517"/>
      <c r="D170" s="496"/>
      <c r="E170" s="496">
        <f>[3]MOOE_Overall_General_Fund!$V$426</f>
        <v>0</v>
      </c>
      <c r="F170" s="496">
        <f>[3]MOOE_Overall_General_Fund!$V$583</f>
        <v>0</v>
      </c>
      <c r="G170" s="496">
        <f t="shared" si="3"/>
        <v>0</v>
      </c>
      <c r="H170" s="524"/>
    </row>
    <row r="171" spans="1:8" x14ac:dyDescent="0.25">
      <c r="A171" s="236" t="s">
        <v>750</v>
      </c>
      <c r="B171" s="236"/>
      <c r="C171" s="517"/>
      <c r="D171" s="496">
        <v>1363506.65</v>
      </c>
      <c r="E171" s="496"/>
      <c r="F171" s="496">
        <f>[3]MOOE_Overall_General_Fund!$V$583</f>
        <v>0</v>
      </c>
      <c r="G171" s="496">
        <f t="shared" si="3"/>
        <v>0</v>
      </c>
      <c r="H171" s="524"/>
    </row>
    <row r="172" spans="1:8" x14ac:dyDescent="0.25">
      <c r="A172" s="236" t="s">
        <v>751</v>
      </c>
      <c r="B172" s="236"/>
      <c r="C172" s="517"/>
      <c r="D172" s="496">
        <v>806415</v>
      </c>
      <c r="E172" s="496">
        <f>[3]MOOE_Overall_General_Fund!$V$428</f>
        <v>0</v>
      </c>
      <c r="F172" s="496">
        <f>[3]MOOE_Overall_General_Fund!$V$583</f>
        <v>0</v>
      </c>
      <c r="G172" s="496">
        <f t="shared" si="3"/>
        <v>0</v>
      </c>
      <c r="H172" s="524"/>
    </row>
    <row r="173" spans="1:8" x14ac:dyDescent="0.25">
      <c r="A173" s="236" t="s">
        <v>752</v>
      </c>
      <c r="B173" s="236"/>
      <c r="C173" s="517"/>
      <c r="D173" s="496">
        <v>146724.07</v>
      </c>
      <c r="E173" s="496"/>
      <c r="F173" s="496">
        <f>[3]MOOE_Overall_General_Fund!$V$583</f>
        <v>0</v>
      </c>
      <c r="G173" s="496">
        <f t="shared" si="3"/>
        <v>0</v>
      </c>
      <c r="H173" s="524"/>
    </row>
    <row r="174" spans="1:8" x14ac:dyDescent="0.25">
      <c r="A174" s="236" t="s">
        <v>753</v>
      </c>
      <c r="B174" s="236"/>
      <c r="C174" s="517"/>
      <c r="D174" s="496">
        <v>103157.45</v>
      </c>
      <c r="E174" s="496"/>
      <c r="F174" s="496">
        <f>[1]MOOE_Overall_General_Fund!$V$591</f>
        <v>0</v>
      </c>
      <c r="G174" s="496">
        <f t="shared" si="3"/>
        <v>0</v>
      </c>
      <c r="H174" s="524"/>
    </row>
    <row r="175" spans="1:8" x14ac:dyDescent="0.25">
      <c r="A175" s="236" t="s">
        <v>754</v>
      </c>
      <c r="B175" s="236"/>
      <c r="C175" s="517"/>
      <c r="D175" s="496">
        <v>100000</v>
      </c>
      <c r="E175" s="496">
        <f>[3]MOOE_Overall_General_Fund!$V$433</f>
        <v>0</v>
      </c>
      <c r="F175" s="496">
        <f>[1]MOOE_Overall_General_Fund!$V$595</f>
        <v>0</v>
      </c>
      <c r="G175" s="496">
        <f t="shared" si="3"/>
        <v>0</v>
      </c>
      <c r="H175" s="524"/>
    </row>
    <row r="176" spans="1:8" x14ac:dyDescent="0.25">
      <c r="A176" s="236" t="s">
        <v>755</v>
      </c>
      <c r="B176" s="236"/>
      <c r="C176" s="517"/>
      <c r="D176" s="496"/>
      <c r="E176" s="496">
        <f>[3]MOOE_Overall_General_Fund!$V$434</f>
        <v>0</v>
      </c>
      <c r="F176" s="496">
        <f>[3]MOOE_Overall_General_Fund!$V$594</f>
        <v>0</v>
      </c>
      <c r="G176" s="496">
        <f t="shared" si="3"/>
        <v>0</v>
      </c>
      <c r="H176" s="524"/>
    </row>
    <row r="177" spans="1:10" x14ac:dyDescent="0.25">
      <c r="A177" s="236" t="s">
        <v>756</v>
      </c>
      <c r="B177" s="236"/>
      <c r="C177" s="517"/>
      <c r="D177" s="496">
        <v>98720</v>
      </c>
      <c r="E177" s="496">
        <f>[1]MOOE_Overall_General_Fund!$V$436</f>
        <v>30100.35</v>
      </c>
      <c r="F177" s="496">
        <f>[1]MOOE_Overall_General_Fund!$V$596</f>
        <v>349855.35</v>
      </c>
      <c r="G177" s="496">
        <f t="shared" si="3"/>
        <v>379955.69999999995</v>
      </c>
      <c r="H177" s="524"/>
    </row>
    <row r="178" spans="1:10" x14ac:dyDescent="0.25">
      <c r="A178" s="236" t="s">
        <v>757</v>
      </c>
      <c r="B178" s="236"/>
      <c r="C178" s="517"/>
      <c r="D178" s="496">
        <v>12100</v>
      </c>
      <c r="E178" s="496">
        <f>[3]MOOE_Overall_General_Fund!$V$436</f>
        <v>0</v>
      </c>
      <c r="F178" s="496">
        <f>[1]MOOE_Overall_General_Fund!$V$597</f>
        <v>0</v>
      </c>
      <c r="G178" s="496">
        <f t="shared" si="3"/>
        <v>0</v>
      </c>
      <c r="H178" s="524"/>
    </row>
    <row r="179" spans="1:10" x14ac:dyDescent="0.25">
      <c r="A179" s="236" t="str">
        <f>[3]MOOE_Overall_General_Fund!$A$277</f>
        <v xml:space="preserve">       Aid to Sports (transferred to LBP form 2A)</v>
      </c>
      <c r="B179" s="236"/>
      <c r="C179" s="111"/>
      <c r="D179" s="525">
        <v>89600</v>
      </c>
      <c r="E179" s="496">
        <f>[1]MOOE_Overall_General_Fund!$V$438</f>
        <v>103804</v>
      </c>
      <c r="F179" s="496">
        <f>[1]MOOE_Overall_General_Fund!$V$598</f>
        <v>143740</v>
      </c>
      <c r="G179" s="496">
        <f t="shared" si="3"/>
        <v>247544</v>
      </c>
      <c r="H179" s="525"/>
    </row>
    <row r="180" spans="1:10" ht="23.25" customHeight="1" x14ac:dyDescent="0.25">
      <c r="A180" s="526" t="s">
        <v>348</v>
      </c>
      <c r="B180" s="527"/>
      <c r="C180" s="528"/>
      <c r="D180" s="502">
        <f>SUM(D38:D179)</f>
        <v>26413753.379999999</v>
      </c>
      <c r="E180" s="502">
        <f>SUM(E38:E179)</f>
        <v>8477460.8099999987</v>
      </c>
      <c r="F180" s="502">
        <f>SUM(F38:F179)</f>
        <v>13786204.210000001</v>
      </c>
      <c r="G180" s="502">
        <f>SUM(G38:G179)</f>
        <v>22263665.020000003</v>
      </c>
      <c r="H180" s="502">
        <f>SUM(H39:H178)</f>
        <v>14607938.91</v>
      </c>
      <c r="I180" s="135"/>
      <c r="J180" s="135"/>
    </row>
    <row r="181" spans="1:10" ht="16.5" customHeight="1" x14ac:dyDescent="0.25">
      <c r="A181" s="487" t="s">
        <v>758</v>
      </c>
      <c r="B181" s="529"/>
      <c r="C181" s="530"/>
      <c r="D181" s="504"/>
      <c r="E181" s="504"/>
      <c r="F181" s="504"/>
      <c r="G181" s="504"/>
      <c r="H181" s="531"/>
    </row>
    <row r="182" spans="1:10" ht="16.5" customHeight="1" x14ac:dyDescent="0.25">
      <c r="A182" s="161" t="s">
        <v>759</v>
      </c>
      <c r="B182" s="161"/>
      <c r="C182" s="532"/>
      <c r="D182" s="533">
        <v>32140.73</v>
      </c>
      <c r="E182" s="533"/>
      <c r="F182" s="533">
        <f>[1]CO!$U$8</f>
        <v>972000</v>
      </c>
      <c r="G182" s="533">
        <f>SUM(E182:F182)</f>
        <v>972000</v>
      </c>
      <c r="H182" s="534">
        <f>[4]CTR!$D$38-([4]CTR!$D$6+H184+350000)</f>
        <v>1392000</v>
      </c>
    </row>
    <row r="183" spans="1:10" ht="16.5" customHeight="1" x14ac:dyDescent="0.25">
      <c r="A183" s="161" t="s">
        <v>760</v>
      </c>
      <c r="B183" s="161"/>
      <c r="C183" s="532"/>
      <c r="D183" s="533">
        <v>0</v>
      </c>
      <c r="E183" s="533"/>
      <c r="F183" s="533">
        <f>[1]CO!$U$9</f>
        <v>150000</v>
      </c>
      <c r="G183" s="533">
        <v>1200000</v>
      </c>
      <c r="H183" s="534">
        <f>[4]CTR!$D$6</f>
        <v>1900000</v>
      </c>
    </row>
    <row r="184" spans="1:10" ht="16.5" customHeight="1" x14ac:dyDescent="0.25">
      <c r="A184" s="535" t="s">
        <v>156</v>
      </c>
      <c r="B184" s="536"/>
      <c r="C184" s="532"/>
      <c r="D184" s="533">
        <v>0</v>
      </c>
      <c r="E184" s="533"/>
      <c r="F184" s="533">
        <f>[1]CO!$U$10</f>
        <v>353079.21</v>
      </c>
      <c r="G184" s="533">
        <f t="shared" ref="G184:G194" si="4">SUM(E184:F184)</f>
        <v>353079.21</v>
      </c>
      <c r="H184" s="534">
        <f>'[4]MO(Misc.)'!$G$74</f>
        <v>203079.21</v>
      </c>
      <c r="I184" s="135"/>
      <c r="J184" s="135"/>
    </row>
    <row r="185" spans="1:10" ht="16.5" customHeight="1" x14ac:dyDescent="0.25">
      <c r="A185" s="535" t="s">
        <v>761</v>
      </c>
      <c r="B185" s="536"/>
      <c r="C185" s="532"/>
      <c r="D185" s="533">
        <v>0</v>
      </c>
      <c r="E185" s="533"/>
      <c r="F185" s="533">
        <f>[1]CO!$U$11</f>
        <v>12000</v>
      </c>
      <c r="G185" s="533">
        <f t="shared" si="4"/>
        <v>12000</v>
      </c>
      <c r="H185" s="534"/>
    </row>
    <row r="186" spans="1:10" ht="16.5" customHeight="1" x14ac:dyDescent="0.25">
      <c r="A186" s="535" t="s">
        <v>762</v>
      </c>
      <c r="B186" s="536"/>
      <c r="C186" s="532"/>
      <c r="D186" s="533">
        <v>0</v>
      </c>
      <c r="E186" s="533"/>
      <c r="F186" s="533">
        <f>[1]CO!$U$12</f>
        <v>45000</v>
      </c>
      <c r="G186" s="533">
        <f t="shared" si="4"/>
        <v>45000</v>
      </c>
      <c r="H186" s="534"/>
    </row>
    <row r="187" spans="1:10" ht="16.5" customHeight="1" x14ac:dyDescent="0.25">
      <c r="A187" s="535" t="s">
        <v>763</v>
      </c>
      <c r="B187" s="536"/>
      <c r="C187" s="532"/>
      <c r="D187" s="533">
        <v>0</v>
      </c>
      <c r="E187" s="533"/>
      <c r="F187" s="533">
        <f>[1]CO!$U$13</f>
        <v>25000</v>
      </c>
      <c r="G187" s="533">
        <f t="shared" si="4"/>
        <v>25000</v>
      </c>
      <c r="H187" s="534"/>
    </row>
    <row r="188" spans="1:10" ht="16.5" customHeight="1" x14ac:dyDescent="0.25">
      <c r="A188" s="535" t="s">
        <v>764</v>
      </c>
      <c r="B188" s="536"/>
      <c r="C188" s="532"/>
      <c r="D188" s="533">
        <v>0</v>
      </c>
      <c r="E188" s="533"/>
      <c r="F188" s="533">
        <f>[1]CO!$U$14</f>
        <v>0</v>
      </c>
      <c r="G188" s="533">
        <f t="shared" si="4"/>
        <v>0</v>
      </c>
      <c r="H188" s="534">
        <f>[3]CO!$U$14</f>
        <v>0</v>
      </c>
    </row>
    <row r="189" spans="1:10" ht="16.5" customHeight="1" x14ac:dyDescent="0.25">
      <c r="A189" s="535" t="s">
        <v>765</v>
      </c>
      <c r="B189" s="536"/>
      <c r="C189" s="532"/>
      <c r="D189" s="533">
        <v>0</v>
      </c>
      <c r="E189" s="533"/>
      <c r="F189" s="533">
        <f>[1]CO!$U$15</f>
        <v>0</v>
      </c>
      <c r="G189" s="533">
        <f t="shared" si="4"/>
        <v>0</v>
      </c>
      <c r="H189" s="534">
        <f>[3]CO!$U$15</f>
        <v>0</v>
      </c>
    </row>
    <row r="190" spans="1:10" ht="16.5" customHeight="1" x14ac:dyDescent="0.25">
      <c r="A190" s="535" t="s">
        <v>766</v>
      </c>
      <c r="B190" s="536"/>
      <c r="C190" s="532"/>
      <c r="D190" s="533">
        <v>0</v>
      </c>
      <c r="E190" s="533"/>
      <c r="F190" s="533">
        <f>[1]CO!$U$16</f>
        <v>0</v>
      </c>
      <c r="G190" s="533">
        <f t="shared" si="4"/>
        <v>0</v>
      </c>
      <c r="H190" s="534">
        <f>[3]CO!$U$16</f>
        <v>0</v>
      </c>
    </row>
    <row r="191" spans="1:10" ht="16.5" customHeight="1" x14ac:dyDescent="0.25">
      <c r="A191" s="161" t="s">
        <v>767</v>
      </c>
      <c r="B191" s="161"/>
      <c r="C191" s="532"/>
      <c r="D191" s="533">
        <f>[3]CO!$U$46</f>
        <v>0</v>
      </c>
      <c r="E191" s="533"/>
      <c r="F191" s="533">
        <f>[1]CO!$U$17</f>
        <v>70000</v>
      </c>
      <c r="G191" s="533">
        <f t="shared" si="4"/>
        <v>70000</v>
      </c>
      <c r="H191" s="534"/>
    </row>
    <row r="192" spans="1:10" ht="16.5" customHeight="1" x14ac:dyDescent="0.25">
      <c r="A192" s="498" t="s">
        <v>768</v>
      </c>
      <c r="B192" s="498"/>
      <c r="C192" s="532"/>
      <c r="D192" s="533">
        <v>0</v>
      </c>
      <c r="E192" s="533"/>
      <c r="F192" s="533">
        <f>[1]CO!$U$18</f>
        <v>100000</v>
      </c>
      <c r="G192" s="533">
        <f t="shared" si="4"/>
        <v>100000</v>
      </c>
      <c r="H192" s="534">
        <f>[3]CO!$U$18</f>
        <v>100000</v>
      </c>
    </row>
    <row r="193" spans="1:9" x14ac:dyDescent="0.25">
      <c r="A193" s="498" t="s">
        <v>769</v>
      </c>
      <c r="B193" s="498"/>
      <c r="C193" s="532"/>
      <c r="D193" s="533">
        <v>0</v>
      </c>
      <c r="E193" s="533"/>
      <c r="F193" s="533">
        <f>[1]CO!$U$19</f>
        <v>250000</v>
      </c>
      <c r="G193" s="533">
        <f t="shared" si="4"/>
        <v>250000</v>
      </c>
      <c r="H193" s="534">
        <f>[3]CO!$U$19</f>
        <v>250000</v>
      </c>
    </row>
    <row r="194" spans="1:9" x14ac:dyDescent="0.25">
      <c r="A194" s="508" t="s">
        <v>770</v>
      </c>
      <c r="B194" s="508"/>
      <c r="C194" s="532"/>
      <c r="D194" s="533">
        <v>0</v>
      </c>
      <c r="E194" s="533"/>
      <c r="F194" s="533">
        <f>[1]CO!$U$20</f>
        <v>100000</v>
      </c>
      <c r="G194" s="533">
        <f t="shared" si="4"/>
        <v>100000</v>
      </c>
      <c r="H194" s="534"/>
    </row>
    <row r="195" spans="1:9" ht="30" x14ac:dyDescent="0.25">
      <c r="A195" s="535" t="s">
        <v>771</v>
      </c>
      <c r="B195" s="537"/>
      <c r="C195" s="538">
        <v>10705020</v>
      </c>
      <c r="D195" s="539"/>
      <c r="E195" s="533">
        <f>[3]CO!$U$55</f>
        <v>0</v>
      </c>
      <c r="F195" s="496">
        <f t="shared" ref="F195:F197" si="5">G195-E195</f>
        <v>0</v>
      </c>
      <c r="G195" s="539"/>
      <c r="H195" s="534">
        <f>[3]CO!$U$8</f>
        <v>1322000</v>
      </c>
    </row>
    <row r="196" spans="1:9" x14ac:dyDescent="0.25">
      <c r="A196" s="535" t="s">
        <v>772</v>
      </c>
      <c r="B196" s="537"/>
      <c r="C196" s="495">
        <v>10710020</v>
      </c>
      <c r="D196" s="539"/>
      <c r="E196" s="533">
        <f>[3]CO!$U$55</f>
        <v>0</v>
      </c>
      <c r="F196" s="496">
        <f t="shared" si="5"/>
        <v>0</v>
      </c>
      <c r="G196" s="539"/>
      <c r="H196" s="534">
        <f>[3]CO!$U$8</f>
        <v>1322000</v>
      </c>
    </row>
    <row r="197" spans="1:9" x14ac:dyDescent="0.25">
      <c r="A197" s="535" t="s">
        <v>773</v>
      </c>
      <c r="B197" s="537"/>
      <c r="C197" s="495">
        <v>10705990</v>
      </c>
      <c r="D197" s="539"/>
      <c r="E197" s="533">
        <f>[3]CO!$U$55</f>
        <v>0</v>
      </c>
      <c r="F197" s="496">
        <f t="shared" si="5"/>
        <v>0</v>
      </c>
      <c r="G197" s="539"/>
      <c r="H197" s="534">
        <f>[3]CO!$U$8</f>
        <v>1322000</v>
      </c>
    </row>
    <row r="198" spans="1:9" x14ac:dyDescent="0.25">
      <c r="A198" s="535" t="s">
        <v>774</v>
      </c>
      <c r="B198" s="537"/>
      <c r="C198" s="495">
        <v>10705020</v>
      </c>
      <c r="D198" s="539"/>
      <c r="E198" s="533">
        <f>[3]CO!$U$55</f>
        <v>0</v>
      </c>
      <c r="F198" s="496"/>
      <c r="G198" s="539"/>
      <c r="H198" s="534">
        <f>[3]CO!$U$8</f>
        <v>1322000</v>
      </c>
    </row>
    <row r="199" spans="1:9" x14ac:dyDescent="0.25">
      <c r="A199" s="535" t="s">
        <v>775</v>
      </c>
      <c r="B199" s="537"/>
      <c r="C199" s="495">
        <v>10707010</v>
      </c>
      <c r="D199" s="539"/>
      <c r="E199" s="533">
        <f>[3]CO!$U$55</f>
        <v>0</v>
      </c>
      <c r="F199" s="496"/>
      <c r="G199" s="539"/>
      <c r="H199" s="534">
        <f>[3]CO!$U$8</f>
        <v>1322000</v>
      </c>
    </row>
    <row r="200" spans="1:9" x14ac:dyDescent="0.25">
      <c r="A200" s="540" t="s">
        <v>776</v>
      </c>
      <c r="B200" s="541"/>
      <c r="C200" s="495">
        <v>10707010</v>
      </c>
      <c r="D200" s="539"/>
      <c r="E200" s="533">
        <f>[3]CO!$U$55</f>
        <v>0</v>
      </c>
      <c r="F200" s="496"/>
      <c r="G200" s="539"/>
      <c r="H200" s="534">
        <f>[3]CO!$U$8</f>
        <v>1322000</v>
      </c>
    </row>
    <row r="201" spans="1:9" x14ac:dyDescent="0.25">
      <c r="A201" s="540" t="s">
        <v>777</v>
      </c>
      <c r="B201" s="541"/>
      <c r="C201" s="495">
        <v>10705020</v>
      </c>
      <c r="D201" s="539"/>
      <c r="E201" s="533">
        <f>[3]CO!$U$55</f>
        <v>0</v>
      </c>
      <c r="F201" s="496"/>
      <c r="G201" s="539"/>
      <c r="H201" s="534">
        <f>[3]CO!$U$8</f>
        <v>1322000</v>
      </c>
    </row>
    <row r="202" spans="1:9" x14ac:dyDescent="0.25">
      <c r="A202" s="540" t="s">
        <v>778</v>
      </c>
      <c r="B202" s="541"/>
      <c r="C202" s="495">
        <v>10707010</v>
      </c>
      <c r="D202" s="539"/>
      <c r="E202" s="533">
        <f>[3]CO!$U$55</f>
        <v>0</v>
      </c>
      <c r="F202" s="496"/>
      <c r="G202" s="539"/>
      <c r="H202" s="534">
        <f>[3]CO!$U$8</f>
        <v>1322000</v>
      </c>
    </row>
    <row r="203" spans="1:9" x14ac:dyDescent="0.25">
      <c r="A203" s="540" t="s">
        <v>779</v>
      </c>
      <c r="B203" s="541"/>
      <c r="C203" s="495">
        <v>10705030</v>
      </c>
      <c r="D203" s="539"/>
      <c r="E203" s="533">
        <f>[3]CO!$U$55</f>
        <v>0</v>
      </c>
      <c r="F203" s="496"/>
      <c r="G203" s="539"/>
      <c r="H203" s="534">
        <f>[3]CO!$U$8</f>
        <v>1322000</v>
      </c>
    </row>
    <row r="204" spans="1:9" x14ac:dyDescent="0.25">
      <c r="A204" s="542" t="s">
        <v>780</v>
      </c>
      <c r="B204" s="543"/>
      <c r="C204" s="495">
        <v>10706010</v>
      </c>
      <c r="D204" s="539"/>
      <c r="E204" s="533">
        <f>[3]CO!$U$55</f>
        <v>0</v>
      </c>
      <c r="F204" s="496"/>
      <c r="G204" s="539"/>
      <c r="H204" s="534">
        <f>[3]CO!$U$8</f>
        <v>1322000</v>
      </c>
    </row>
    <row r="205" spans="1:9" x14ac:dyDescent="0.25">
      <c r="A205" s="535" t="s">
        <v>781</v>
      </c>
      <c r="B205" s="536"/>
      <c r="C205" s="544">
        <v>10710030</v>
      </c>
      <c r="D205" s="545"/>
      <c r="E205" s="533">
        <f>[3]CO!$U$55</f>
        <v>0</v>
      </c>
      <c r="F205" s="546"/>
      <c r="G205" s="545"/>
      <c r="H205" s="534">
        <f>[3]CO!$U$8</f>
        <v>1322000</v>
      </c>
    </row>
    <row r="206" spans="1:9" x14ac:dyDescent="0.25">
      <c r="A206" s="487" t="s">
        <v>321</v>
      </c>
      <c r="B206" s="501"/>
      <c r="C206" s="528"/>
      <c r="D206" s="502">
        <f>D182+D183+D184+D185+D186+D187+D188+D189+D190+D191+D192+D193+D194</f>
        <v>32140.73</v>
      </c>
      <c r="E206" s="502">
        <f t="shared" ref="E206:H206" si="6">E182+E183+E184+E185+E186+E187+E188+E189+E190+E191+E192+E193+E194</f>
        <v>0</v>
      </c>
      <c r="F206" s="502">
        <f>F182+F183+F184+F185+F186+F187+F188+F189+F190+F191+F192+F193+F194</f>
        <v>2077079.21</v>
      </c>
      <c r="G206" s="502">
        <f t="shared" si="6"/>
        <v>3127079.21</v>
      </c>
      <c r="H206" s="502">
        <f t="shared" si="6"/>
        <v>3845079.21</v>
      </c>
      <c r="I206" s="135"/>
    </row>
    <row r="207" spans="1:9" x14ac:dyDescent="0.25">
      <c r="A207" s="487" t="s">
        <v>782</v>
      </c>
      <c r="B207" s="529"/>
      <c r="C207" s="530"/>
      <c r="D207" s="504"/>
      <c r="E207" s="504"/>
      <c r="F207" s="504"/>
      <c r="G207" s="504"/>
      <c r="H207" s="531"/>
    </row>
    <row r="208" spans="1:9" ht="30" x14ac:dyDescent="0.25">
      <c r="A208" s="547" t="s">
        <v>783</v>
      </c>
      <c r="B208" s="548"/>
      <c r="C208" s="495"/>
      <c r="D208" s="539">
        <v>0</v>
      </c>
      <c r="E208" s="539"/>
      <c r="F208" s="539" t="e">
        <f>'[5]20%'!$F$45</f>
        <v>#REF!</v>
      </c>
      <c r="G208" s="539">
        <f>'[6]20%'!$I$45</f>
        <v>12510747.99</v>
      </c>
      <c r="H208" s="539">
        <f>[4]CTR!$E$17</f>
        <v>20113319.359999999</v>
      </c>
      <c r="I208" s="135"/>
    </row>
    <row r="209" spans="1:10" x14ac:dyDescent="0.25">
      <c r="A209" s="549" t="s">
        <v>784</v>
      </c>
      <c r="B209" s="548"/>
      <c r="C209" s="495"/>
      <c r="D209" s="539">
        <f>'[5]5%'!$D$31</f>
        <v>0</v>
      </c>
      <c r="E209" s="539"/>
      <c r="F209" s="539">
        <f>'[5]5%'!$D$31</f>
        <v>0</v>
      </c>
      <c r="G209" s="539">
        <f>'[6]5%'!$I$28</f>
        <v>3251310.1399999997</v>
      </c>
      <c r="H209" s="539">
        <f>[4]CTR!$E$18</f>
        <v>4992737.49</v>
      </c>
      <c r="I209" s="135"/>
      <c r="J209" s="135"/>
    </row>
    <row r="210" spans="1:10" x14ac:dyDescent="0.25">
      <c r="A210" s="549" t="s">
        <v>785</v>
      </c>
      <c r="B210" s="548"/>
      <c r="C210" s="495"/>
      <c r="D210" s="539"/>
      <c r="E210" s="539"/>
      <c r="F210" s="539"/>
      <c r="G210" s="539"/>
      <c r="H210" s="496"/>
    </row>
    <row r="211" spans="1:10" ht="30" x14ac:dyDescent="0.25">
      <c r="A211" s="549" t="s">
        <v>786</v>
      </c>
      <c r="B211" s="548"/>
      <c r="C211" s="495"/>
      <c r="D211" s="539"/>
      <c r="E211" s="539"/>
      <c r="F211" s="539"/>
      <c r="G211" s="539"/>
      <c r="H211" s="496"/>
      <c r="I211" s="500"/>
    </row>
    <row r="212" spans="1:10" x14ac:dyDescent="0.25">
      <c r="A212" s="549" t="s">
        <v>787</v>
      </c>
      <c r="B212" s="548"/>
      <c r="C212" s="495">
        <v>40301020</v>
      </c>
      <c r="D212" s="539"/>
      <c r="E212" s="539"/>
      <c r="F212" s="539"/>
      <c r="G212" s="539"/>
      <c r="H212" s="496"/>
      <c r="I212" s="500"/>
    </row>
    <row r="213" spans="1:10" ht="24.75" customHeight="1" x14ac:dyDescent="0.25">
      <c r="A213" s="549" t="s">
        <v>788</v>
      </c>
      <c r="B213" s="550"/>
      <c r="C213" s="551"/>
      <c r="D213" s="545">
        <v>636149.64</v>
      </c>
      <c r="E213" s="545"/>
      <c r="F213" s="545" t="e">
        <f>[5]summary!$F$32</f>
        <v>#REF!</v>
      </c>
      <c r="G213" s="545">
        <f>[6]summary!$F$22-2006856.39</f>
        <v>5458847.0499999998</v>
      </c>
      <c r="H213" s="545">
        <f>16710982.46-[4]CTR!$E$5</f>
        <v>11722433.710000001</v>
      </c>
      <c r="I213" s="500"/>
    </row>
    <row r="214" spans="1:10" ht="24.75" customHeight="1" x14ac:dyDescent="0.25">
      <c r="A214" s="549" t="s">
        <v>789</v>
      </c>
      <c r="B214" s="552"/>
      <c r="C214" s="123"/>
      <c r="D214" s="553">
        <f>SUM(D208:D213)</f>
        <v>636149.64</v>
      </c>
      <c r="E214" s="554"/>
      <c r="F214" s="554" t="e">
        <f t="shared" ref="F214:H214" si="7">SUM(F208:F213)</f>
        <v>#REF!</v>
      </c>
      <c r="G214" s="554">
        <f t="shared" si="7"/>
        <v>21220905.18</v>
      </c>
      <c r="H214" s="554">
        <f t="shared" si="7"/>
        <v>36828490.560000002</v>
      </c>
      <c r="I214" s="500"/>
    </row>
    <row r="215" spans="1:10" ht="20.25" customHeight="1" x14ac:dyDescent="0.25">
      <c r="A215" s="126" t="s">
        <v>790</v>
      </c>
      <c r="B215" s="501"/>
      <c r="C215" s="465"/>
      <c r="D215" s="502">
        <f>D214+D206+D180+D37</f>
        <v>60869961.369999997</v>
      </c>
      <c r="E215" s="502">
        <f t="shared" ref="E215:H215" si="8">E214+E206+E180+E37</f>
        <v>24720266.199999999</v>
      </c>
      <c r="F215" s="502" t="e">
        <f t="shared" si="8"/>
        <v>#REF!</v>
      </c>
      <c r="G215" s="502">
        <f t="shared" si="8"/>
        <v>78263312.010000005</v>
      </c>
      <c r="H215" s="502">
        <f t="shared" si="8"/>
        <v>100992675.40071</v>
      </c>
      <c r="I215" s="500"/>
    </row>
    <row r="216" spans="1:10" x14ac:dyDescent="0.25">
      <c r="G216" s="135"/>
      <c r="I216" s="500"/>
    </row>
    <row r="217" spans="1:10" ht="29.25" customHeight="1" x14ac:dyDescent="0.25">
      <c r="A217" s="561" t="s">
        <v>791</v>
      </c>
      <c r="B217" s="561"/>
      <c r="C217" s="561"/>
      <c r="D217" s="561"/>
      <c r="E217" s="561"/>
      <c r="F217" s="561"/>
      <c r="G217" s="561"/>
      <c r="H217" s="561"/>
      <c r="I217" s="500"/>
    </row>
    <row r="218" spans="1:10" ht="23.25" customHeight="1" x14ac:dyDescent="0.25">
      <c r="A218" s="555"/>
      <c r="B218" s="555"/>
      <c r="C218" s="555"/>
      <c r="D218" s="555"/>
      <c r="E218" s="556"/>
      <c r="F218" s="555"/>
      <c r="G218" s="557"/>
      <c r="H218" s="555"/>
      <c r="I218" s="500"/>
    </row>
    <row r="219" spans="1:10" ht="41.25" customHeight="1" x14ac:dyDescent="0.25">
      <c r="A219" s="558" t="s">
        <v>792</v>
      </c>
      <c r="D219" s="559" t="s">
        <v>491</v>
      </c>
      <c r="E219" s="559"/>
      <c r="F219" s="559"/>
      <c r="G219" s="559"/>
      <c r="H219" s="559"/>
    </row>
    <row r="220" spans="1:10" s="483" customFormat="1" x14ac:dyDescent="0.25">
      <c r="A220" s="560" t="s">
        <v>793</v>
      </c>
      <c r="B220" s="488"/>
      <c r="D220" s="559" t="s">
        <v>794</v>
      </c>
      <c r="E220" s="559"/>
      <c r="F220" s="559"/>
      <c r="G220" s="559"/>
      <c r="H220" s="559"/>
      <c r="I220" s="106"/>
    </row>
    <row r="221" spans="1:10" s="483" customFormat="1" x14ac:dyDescent="0.25">
      <c r="A221" s="107"/>
      <c r="B221" s="106"/>
      <c r="D221" s="106"/>
      <c r="E221" s="106"/>
      <c r="F221" s="106"/>
      <c r="G221" s="106"/>
      <c r="H221" s="106"/>
      <c r="I221" s="106"/>
    </row>
  </sheetData>
  <sheetProtection password="CCFC" sheet="1" objects="1" scenarios="1" selectLockedCells="1" selectUnlockedCells="1"/>
  <mergeCells count="13">
    <mergeCell ref="A9:H9"/>
    <mergeCell ref="A3:I3"/>
    <mergeCell ref="A4:H4"/>
    <mergeCell ref="A5:I5"/>
    <mergeCell ref="A7:H7"/>
    <mergeCell ref="A8:H8"/>
    <mergeCell ref="A217:H217"/>
    <mergeCell ref="A11:A12"/>
    <mergeCell ref="C11:C12"/>
    <mergeCell ref="E11:G11"/>
    <mergeCell ref="H11:H12"/>
    <mergeCell ref="E12:E13"/>
    <mergeCell ref="F12:F1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H67"/>
  <sheetViews>
    <sheetView topLeftCell="A39" workbookViewId="0">
      <selection activeCell="H42" sqref="H42"/>
    </sheetView>
  </sheetViews>
  <sheetFormatPr defaultRowHeight="15" x14ac:dyDescent="0.25"/>
  <cols>
    <col min="1" max="1" width="48.140625" style="16" customWidth="1"/>
    <col min="2" max="2" width="10.140625" style="16" customWidth="1"/>
    <col min="3" max="3" width="13.28515625" style="16" bestFit="1" customWidth="1"/>
    <col min="4" max="4" width="13" style="16" customWidth="1"/>
    <col min="5" max="5" width="13.42578125" style="16" customWidth="1"/>
    <col min="6" max="7" width="13.28515625" style="16" bestFit="1" customWidth="1"/>
    <col min="8" max="8" width="47.5703125" style="16" bestFit="1" customWidth="1"/>
    <col min="9" max="16384" width="9.140625" style="16"/>
  </cols>
  <sheetData>
    <row r="1" spans="1:7" x14ac:dyDescent="0.25">
      <c r="A1" s="16" t="s">
        <v>9</v>
      </c>
      <c r="G1" s="16" t="s">
        <v>96</v>
      </c>
    </row>
    <row r="3" spans="1:7" ht="18.75" x14ac:dyDescent="0.3">
      <c r="A3" s="595" t="s">
        <v>10</v>
      </c>
      <c r="B3" s="595"/>
      <c r="C3" s="595"/>
      <c r="D3" s="595"/>
      <c r="E3" s="595"/>
      <c r="F3" s="595"/>
      <c r="G3" s="595"/>
    </row>
    <row r="4" spans="1:7" ht="18.75" x14ac:dyDescent="0.3">
      <c r="A4" s="595" t="s">
        <v>127</v>
      </c>
      <c r="B4" s="595"/>
      <c r="C4" s="595"/>
      <c r="D4" s="595"/>
      <c r="E4" s="595"/>
      <c r="F4" s="595"/>
      <c r="G4" s="595"/>
    </row>
    <row r="5" spans="1:7" ht="27" customHeight="1" x14ac:dyDescent="0.3">
      <c r="A5" s="150"/>
      <c r="B5" s="151"/>
      <c r="C5" s="151"/>
      <c r="D5" s="151"/>
      <c r="E5" s="151"/>
      <c r="F5" s="151"/>
      <c r="G5" s="151"/>
    </row>
    <row r="6" spans="1:7" ht="18.75" x14ac:dyDescent="0.3">
      <c r="A6" s="151" t="s">
        <v>78</v>
      </c>
      <c r="B6" s="151"/>
      <c r="C6" s="151"/>
      <c r="D6" s="151"/>
      <c r="E6" s="151"/>
      <c r="F6" s="151"/>
      <c r="G6" s="151"/>
    </row>
    <row r="7" spans="1:7" ht="18.75" x14ac:dyDescent="0.3">
      <c r="A7" s="151" t="s">
        <v>76</v>
      </c>
      <c r="B7" s="151"/>
      <c r="C7" s="151"/>
      <c r="D7" s="151"/>
      <c r="E7" s="151"/>
      <c r="F7" s="151"/>
      <c r="G7" s="151"/>
    </row>
    <row r="8" spans="1:7" ht="18.75" x14ac:dyDescent="0.3">
      <c r="A8" s="151" t="s">
        <v>73</v>
      </c>
      <c r="B8" s="151"/>
      <c r="C8" s="151"/>
      <c r="D8" s="151"/>
      <c r="E8" s="151"/>
      <c r="F8" s="151"/>
      <c r="G8" s="151"/>
    </row>
    <row r="9" spans="1:7" ht="29.25" customHeight="1" x14ac:dyDescent="0.3">
      <c r="A9" s="151"/>
      <c r="B9" s="151"/>
      <c r="C9" s="151"/>
      <c r="D9" s="151"/>
      <c r="E9" s="151"/>
      <c r="F9" s="151"/>
      <c r="G9" s="151"/>
    </row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4" customHeight="1" x14ac:dyDescent="0.25">
      <c r="A11" s="597"/>
      <c r="B11" s="599"/>
      <c r="C11" s="18" t="s">
        <v>4</v>
      </c>
      <c r="D11" s="165" t="s">
        <v>113</v>
      </c>
      <c r="E11" s="165" t="s">
        <v>112</v>
      </c>
      <c r="F11" s="17" t="s">
        <v>5</v>
      </c>
      <c r="G11" s="18" t="s">
        <v>6</v>
      </c>
    </row>
    <row r="12" spans="1:7" x14ac:dyDescent="0.25">
      <c r="A12" s="143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143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142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18"/>
      <c r="G16" s="18"/>
    </row>
    <row r="17" spans="1:8" hidden="1" x14ac:dyDescent="0.25">
      <c r="A17" s="54" t="s">
        <v>57</v>
      </c>
      <c r="B17" s="18"/>
      <c r="C17" s="18"/>
      <c r="D17" s="18"/>
      <c r="E17" s="18"/>
      <c r="F17" s="18"/>
      <c r="G17" s="18"/>
    </row>
    <row r="18" spans="1:8" x14ac:dyDescent="0.25">
      <c r="A18" s="54" t="s">
        <v>56</v>
      </c>
      <c r="B18" s="38">
        <v>50101010</v>
      </c>
      <c r="C18" s="208">
        <v>1213221.57</v>
      </c>
      <c r="D18" s="240">
        <v>832919.8</v>
      </c>
      <c r="E18" s="241">
        <f>F18-D18</f>
        <v>176196.19999999995</v>
      </c>
      <c r="F18" s="240">
        <v>1009116</v>
      </c>
      <c r="G18" s="65">
        <v>1579560</v>
      </c>
    </row>
    <row r="19" spans="1:8" hidden="1" x14ac:dyDescent="0.25">
      <c r="A19" s="54" t="s">
        <v>56</v>
      </c>
      <c r="B19" s="52">
        <v>50101</v>
      </c>
      <c r="C19" s="76"/>
      <c r="D19" s="240"/>
      <c r="E19" s="241">
        <f t="shared" ref="E19:E35" si="0">F19-D19</f>
        <v>0</v>
      </c>
      <c r="F19" s="240"/>
      <c r="G19" s="43"/>
    </row>
    <row r="20" spans="1:8" hidden="1" x14ac:dyDescent="0.25">
      <c r="A20" s="54" t="s">
        <v>56</v>
      </c>
      <c r="B20" s="18"/>
      <c r="C20" s="76"/>
      <c r="D20" s="240"/>
      <c r="E20" s="241">
        <f t="shared" si="0"/>
        <v>0</v>
      </c>
      <c r="F20" s="240"/>
      <c r="G20" s="43"/>
    </row>
    <row r="21" spans="1:8" x14ac:dyDescent="0.25">
      <c r="A21" s="54" t="s">
        <v>98</v>
      </c>
      <c r="B21" s="18"/>
      <c r="C21" s="208">
        <v>101085</v>
      </c>
      <c r="D21" s="240">
        <v>177279.99</v>
      </c>
      <c r="E21" s="241">
        <f t="shared" si="0"/>
        <v>458476.08999999997</v>
      </c>
      <c r="F21" s="240">
        <v>635756.07999999996</v>
      </c>
      <c r="G21" s="76">
        <v>100000</v>
      </c>
      <c r="H21" s="16">
        <v>150000</v>
      </c>
    </row>
    <row r="22" spans="1:8" x14ac:dyDescent="0.25">
      <c r="A22" s="72" t="s">
        <v>52</v>
      </c>
      <c r="B22" s="52">
        <v>50102010</v>
      </c>
      <c r="C22" s="208">
        <v>156500</v>
      </c>
      <c r="D22" s="240">
        <v>124600</v>
      </c>
      <c r="E22" s="241">
        <f t="shared" si="0"/>
        <v>91400</v>
      </c>
      <c r="F22" s="240">
        <v>216000</v>
      </c>
      <c r="G22" s="65">
        <v>216000</v>
      </c>
    </row>
    <row r="23" spans="1:8" x14ac:dyDescent="0.25">
      <c r="A23" s="72" t="s">
        <v>51</v>
      </c>
      <c r="B23" s="52">
        <v>50102020</v>
      </c>
      <c r="C23" s="208">
        <v>67500</v>
      </c>
      <c r="D23" s="240"/>
      <c r="E23" s="241">
        <f t="shared" si="0"/>
        <v>67500</v>
      </c>
      <c r="F23" s="240">
        <v>67500</v>
      </c>
      <c r="G23" s="65">
        <v>67500</v>
      </c>
    </row>
    <row r="24" spans="1:8" x14ac:dyDescent="0.25">
      <c r="A24" s="72" t="s">
        <v>48</v>
      </c>
      <c r="B24" s="52">
        <v>50102030</v>
      </c>
      <c r="C24" s="208">
        <v>67500</v>
      </c>
      <c r="D24" s="240"/>
      <c r="E24" s="241">
        <f t="shared" si="0"/>
        <v>67500</v>
      </c>
      <c r="F24" s="240">
        <v>67500</v>
      </c>
      <c r="G24" s="65">
        <v>67500</v>
      </c>
    </row>
    <row r="25" spans="1:8" x14ac:dyDescent="0.25">
      <c r="A25" s="72" t="s">
        <v>49</v>
      </c>
      <c r="B25" s="52">
        <v>50102040</v>
      </c>
      <c r="C25" s="208">
        <v>40000</v>
      </c>
      <c r="D25" s="240"/>
      <c r="E25" s="241">
        <f t="shared" si="0"/>
        <v>35000</v>
      </c>
      <c r="F25" s="240">
        <v>35000</v>
      </c>
      <c r="G25" s="65">
        <v>45000</v>
      </c>
    </row>
    <row r="26" spans="1:8" hidden="1" x14ac:dyDescent="0.25">
      <c r="A26" s="72" t="s">
        <v>50</v>
      </c>
      <c r="B26" s="52">
        <v>50102080</v>
      </c>
      <c r="C26" s="76"/>
      <c r="D26" s="240"/>
      <c r="E26" s="241">
        <f t="shared" si="0"/>
        <v>0</v>
      </c>
      <c r="F26" s="240"/>
      <c r="G26" s="43"/>
    </row>
    <row r="27" spans="1:8" x14ac:dyDescent="0.25">
      <c r="A27" s="72" t="s">
        <v>47</v>
      </c>
      <c r="B27" s="52">
        <v>50102150</v>
      </c>
      <c r="C27" s="208">
        <v>35000</v>
      </c>
      <c r="D27" s="240"/>
      <c r="E27" s="241">
        <f t="shared" si="0"/>
        <v>4500</v>
      </c>
      <c r="F27" s="240">
        <v>4500</v>
      </c>
      <c r="G27" s="65">
        <v>45000</v>
      </c>
    </row>
    <row r="28" spans="1:8" x14ac:dyDescent="0.25">
      <c r="A28" s="72" t="s">
        <v>46</v>
      </c>
      <c r="B28" s="52">
        <v>50102140</v>
      </c>
      <c r="C28" s="208">
        <f>220712-35000-71010</f>
        <v>114702</v>
      </c>
      <c r="D28" s="240"/>
      <c r="E28" s="241">
        <f t="shared" si="0"/>
        <v>104742.39999999999</v>
      </c>
      <c r="F28" s="240">
        <v>104742.39999999999</v>
      </c>
      <c r="G28" s="65">
        <v>131630</v>
      </c>
    </row>
    <row r="29" spans="1:8" x14ac:dyDescent="0.25">
      <c r="A29" s="72" t="s">
        <v>39</v>
      </c>
      <c r="B29" s="52">
        <v>50102990</v>
      </c>
      <c r="C29" s="208">
        <v>71010</v>
      </c>
      <c r="D29" s="240"/>
      <c r="E29" s="241">
        <f t="shared" si="0"/>
        <v>105491</v>
      </c>
      <c r="F29" s="240">
        <v>105491</v>
      </c>
      <c r="G29" s="65">
        <v>131233</v>
      </c>
    </row>
    <row r="30" spans="1:8" x14ac:dyDescent="0.25">
      <c r="A30" s="72" t="s">
        <v>40</v>
      </c>
      <c r="B30" s="52">
        <v>50103010</v>
      </c>
      <c r="C30" s="208">
        <v>139212.62</v>
      </c>
      <c r="D30" s="240">
        <v>74003.399999999994</v>
      </c>
      <c r="E30" s="241">
        <f t="shared" si="0"/>
        <v>27162.200000000012</v>
      </c>
      <c r="F30" s="240">
        <v>101165.6</v>
      </c>
      <c r="G30" s="65">
        <v>189547.2</v>
      </c>
    </row>
    <row r="31" spans="1:8" x14ac:dyDescent="0.25">
      <c r="A31" s="72" t="s">
        <v>41</v>
      </c>
      <c r="B31" s="52">
        <v>50103030</v>
      </c>
      <c r="C31" s="208">
        <v>8200</v>
      </c>
      <c r="D31" s="240">
        <v>4200</v>
      </c>
      <c r="E31" s="241">
        <f t="shared" si="0"/>
        <v>1500</v>
      </c>
      <c r="F31" s="240">
        <v>5700</v>
      </c>
      <c r="G31" s="65">
        <v>10800</v>
      </c>
    </row>
    <row r="32" spans="1:8" x14ac:dyDescent="0.25">
      <c r="A32" s="72" t="s">
        <v>42</v>
      </c>
      <c r="B32" s="52">
        <v>50103030</v>
      </c>
      <c r="C32" s="208">
        <v>13475.5</v>
      </c>
      <c r="D32" s="240">
        <v>11125</v>
      </c>
      <c r="E32" s="241">
        <f t="shared" si="0"/>
        <v>2251</v>
      </c>
      <c r="F32" s="240">
        <v>13376</v>
      </c>
      <c r="G32" s="65">
        <v>15600</v>
      </c>
    </row>
    <row r="33" spans="1:8" x14ac:dyDescent="0.25">
      <c r="A33" s="72" t="s">
        <v>43</v>
      </c>
      <c r="B33" s="52">
        <v>50103040</v>
      </c>
      <c r="C33" s="208">
        <v>7396.2</v>
      </c>
      <c r="D33" s="240">
        <v>3786.33</v>
      </c>
      <c r="E33" s="241">
        <f t="shared" si="0"/>
        <v>1394.8400000000001</v>
      </c>
      <c r="F33" s="240">
        <v>5181.17</v>
      </c>
      <c r="G33" s="65">
        <v>15795.6</v>
      </c>
    </row>
    <row r="34" spans="1:8" x14ac:dyDescent="0.25">
      <c r="A34" s="72" t="s">
        <v>44</v>
      </c>
      <c r="B34" s="52">
        <v>50104990</v>
      </c>
      <c r="C34" s="14">
        <v>103746.89</v>
      </c>
      <c r="D34" s="14"/>
      <c r="E34" s="241">
        <f t="shared" si="0"/>
        <v>93446.6</v>
      </c>
      <c r="F34" s="14">
        <v>93446.6</v>
      </c>
      <c r="G34" s="64">
        <v>111675.98</v>
      </c>
    </row>
    <row r="35" spans="1:8" x14ac:dyDescent="0.25">
      <c r="A35" s="72" t="s">
        <v>45</v>
      </c>
      <c r="B35" s="52">
        <v>50102990</v>
      </c>
      <c r="C35" s="14">
        <v>30000</v>
      </c>
      <c r="D35" s="14"/>
      <c r="E35" s="241">
        <f t="shared" si="0"/>
        <v>30000</v>
      </c>
      <c r="F35" s="14">
        <v>30000</v>
      </c>
      <c r="G35" s="64">
        <v>45000</v>
      </c>
    </row>
    <row r="36" spans="1:8" x14ac:dyDescent="0.25">
      <c r="A36" s="27" t="s">
        <v>58</v>
      </c>
      <c r="B36" s="26"/>
      <c r="C36" s="27">
        <f>SUM(C17:C35)</f>
        <v>2168549.7799999998</v>
      </c>
      <c r="D36" s="27">
        <f>SUM(D17:D35)</f>
        <v>1227914.52</v>
      </c>
      <c r="E36" s="27">
        <f>SUM(E17:E35)</f>
        <v>1266560.33</v>
      </c>
      <c r="F36" s="27">
        <f>SUM(F17:F35)</f>
        <v>2494474.85</v>
      </c>
      <c r="G36" s="27">
        <f>SUM(G17:G35)</f>
        <v>2771841.7800000003</v>
      </c>
      <c r="H36" s="35">
        <f>+G36-2608067.24</f>
        <v>163774.54000000004</v>
      </c>
    </row>
    <row r="37" spans="1:8" x14ac:dyDescent="0.25">
      <c r="A37" s="24" t="s">
        <v>14</v>
      </c>
      <c r="B37" s="23"/>
      <c r="C37" s="23"/>
      <c r="D37" s="23"/>
      <c r="E37" s="23"/>
      <c r="F37" s="23"/>
      <c r="G37" s="23"/>
    </row>
    <row r="38" spans="1:8" x14ac:dyDescent="0.25">
      <c r="A38" s="54" t="s">
        <v>17</v>
      </c>
      <c r="B38" s="29">
        <v>50203010</v>
      </c>
      <c r="C38" s="14">
        <v>86766.67</v>
      </c>
      <c r="D38" s="9">
        <v>45282.83</v>
      </c>
      <c r="E38" s="35">
        <f t="shared" ref="E38:E43" si="1">F38-D38</f>
        <v>14654.43</v>
      </c>
      <c r="F38" s="64">
        <v>59937.26</v>
      </c>
      <c r="G38" s="30">
        <v>90000</v>
      </c>
    </row>
    <row r="39" spans="1:8" x14ac:dyDescent="0.25">
      <c r="A39" s="54" t="s">
        <v>158</v>
      </c>
      <c r="B39" s="29">
        <v>50201010</v>
      </c>
      <c r="C39" s="14">
        <v>154785.5</v>
      </c>
      <c r="D39" s="9">
        <v>105608.6</v>
      </c>
      <c r="E39" s="35">
        <f t="shared" si="1"/>
        <v>100336.5</v>
      </c>
      <c r="F39" s="64">
        <v>205945.1</v>
      </c>
      <c r="G39" s="30">
        <v>140900</v>
      </c>
    </row>
    <row r="40" spans="1:8" x14ac:dyDescent="0.25">
      <c r="A40" s="54" t="s">
        <v>27</v>
      </c>
      <c r="B40" s="31">
        <v>50202010</v>
      </c>
      <c r="C40" s="14">
        <v>69436.36</v>
      </c>
      <c r="D40" s="9">
        <v>50470</v>
      </c>
      <c r="E40" s="35">
        <f t="shared" si="1"/>
        <v>23269</v>
      </c>
      <c r="F40" s="64">
        <v>73739</v>
      </c>
      <c r="G40" s="30">
        <v>82000</v>
      </c>
    </row>
    <row r="41" spans="1:8" x14ac:dyDescent="0.25">
      <c r="A41" s="54" t="s">
        <v>29</v>
      </c>
      <c r="B41" s="31">
        <v>50205020</v>
      </c>
      <c r="C41" s="14">
        <v>1756.84</v>
      </c>
      <c r="D41" s="9">
        <v>13267.56</v>
      </c>
      <c r="E41" s="35">
        <f t="shared" si="1"/>
        <v>6730.3900000000012</v>
      </c>
      <c r="F41" s="64">
        <v>19997.95</v>
      </c>
      <c r="G41" s="30">
        <v>38000</v>
      </c>
    </row>
    <row r="42" spans="1:8" x14ac:dyDescent="0.25">
      <c r="A42" s="54" t="s">
        <v>163</v>
      </c>
      <c r="B42" s="31">
        <v>5021990</v>
      </c>
      <c r="C42" s="14">
        <v>427000.16</v>
      </c>
      <c r="D42" s="9">
        <v>143530</v>
      </c>
      <c r="E42" s="35">
        <f t="shared" si="1"/>
        <v>0</v>
      </c>
      <c r="F42" s="64">
        <v>143530</v>
      </c>
      <c r="G42" s="30">
        <v>100000</v>
      </c>
    </row>
    <row r="43" spans="1:8" x14ac:dyDescent="0.25">
      <c r="A43" s="54" t="s">
        <v>31</v>
      </c>
      <c r="B43" s="31">
        <v>50213990</v>
      </c>
      <c r="C43" s="14">
        <v>12263</v>
      </c>
      <c r="D43" s="9">
        <v>2510</v>
      </c>
      <c r="E43" s="35">
        <f t="shared" si="1"/>
        <v>1350</v>
      </c>
      <c r="F43" s="64">
        <v>3860</v>
      </c>
      <c r="G43" s="30">
        <v>4000</v>
      </c>
    </row>
    <row r="44" spans="1:8" x14ac:dyDescent="0.25">
      <c r="A44" s="186" t="s">
        <v>160</v>
      </c>
      <c r="B44" s="248"/>
      <c r="C44" s="247">
        <v>5076.5</v>
      </c>
      <c r="D44" s="9"/>
      <c r="F44" s="64">
        <v>4912.5</v>
      </c>
      <c r="G44" s="30">
        <v>5000</v>
      </c>
    </row>
    <row r="45" spans="1:8" x14ac:dyDescent="0.25">
      <c r="A45" s="186" t="s">
        <v>164</v>
      </c>
      <c r="B45" s="38">
        <v>50203090</v>
      </c>
      <c r="C45" s="14"/>
      <c r="D45" s="9"/>
      <c r="F45" s="64"/>
      <c r="G45" s="30"/>
    </row>
    <row r="46" spans="1:8" x14ac:dyDescent="0.25">
      <c r="A46" s="23" t="s">
        <v>30</v>
      </c>
      <c r="B46" s="29">
        <v>50299990</v>
      </c>
      <c r="C46" s="14">
        <v>39665.01</v>
      </c>
      <c r="D46" s="9"/>
      <c r="E46" s="35">
        <f>F46-D46</f>
        <v>10000</v>
      </c>
      <c r="F46" s="64">
        <v>10000</v>
      </c>
      <c r="G46" s="30">
        <v>40000</v>
      </c>
    </row>
    <row r="47" spans="1:8" x14ac:dyDescent="0.25">
      <c r="A47" s="23" t="s">
        <v>185</v>
      </c>
      <c r="B47" s="29">
        <v>50299050</v>
      </c>
      <c r="C47" s="14"/>
      <c r="D47" s="9"/>
      <c r="F47" s="64"/>
      <c r="G47" s="30"/>
    </row>
    <row r="48" spans="1:8" x14ac:dyDescent="0.25">
      <c r="A48" s="23" t="s">
        <v>28</v>
      </c>
      <c r="B48" s="29">
        <v>50203020</v>
      </c>
      <c r="C48" s="14">
        <f>47062.51-0.01</f>
        <v>47062.5</v>
      </c>
      <c r="D48" s="9">
        <v>45365</v>
      </c>
      <c r="E48" s="35">
        <f>F48-D48</f>
        <v>27504.5</v>
      </c>
      <c r="F48" s="64">
        <v>72869.5</v>
      </c>
      <c r="G48" s="30">
        <v>50000</v>
      </c>
    </row>
    <row r="49" spans="1:7" x14ac:dyDescent="0.25">
      <c r="A49" s="23" t="s">
        <v>186</v>
      </c>
      <c r="B49" s="29"/>
      <c r="C49" s="14"/>
      <c r="D49" s="9"/>
      <c r="F49" s="64">
        <v>4000</v>
      </c>
      <c r="G49" s="30">
        <v>14000</v>
      </c>
    </row>
    <row r="50" spans="1:7" x14ac:dyDescent="0.25">
      <c r="A50" s="276" t="s">
        <v>77</v>
      </c>
      <c r="B50" s="29">
        <v>50299990</v>
      </c>
      <c r="C50" s="14"/>
      <c r="D50" s="9">
        <v>54000</v>
      </c>
      <c r="E50" s="35">
        <f>F50-D50</f>
        <v>68930</v>
      </c>
      <c r="F50" s="64">
        <v>122930</v>
      </c>
      <c r="G50" s="30">
        <v>150000</v>
      </c>
    </row>
    <row r="51" spans="1:7" x14ac:dyDescent="0.25">
      <c r="A51" s="276"/>
      <c r="B51" s="29"/>
      <c r="C51" s="14"/>
      <c r="D51" s="9"/>
      <c r="F51" s="64"/>
      <c r="G51" s="30"/>
    </row>
    <row r="52" spans="1:7" x14ac:dyDescent="0.25">
      <c r="A52" s="276"/>
      <c r="B52" s="29"/>
      <c r="C52" s="14"/>
      <c r="D52" s="9"/>
      <c r="F52" s="64"/>
      <c r="G52" s="30"/>
    </row>
    <row r="53" spans="1:7" x14ac:dyDescent="0.25">
      <c r="A53" s="23"/>
      <c r="B53" s="34"/>
      <c r="C53" s="27">
        <f>SUM(C38:C50)</f>
        <v>843812.54</v>
      </c>
      <c r="D53" s="27">
        <f t="shared" ref="D53" si="2">SUM(D38:D50)</f>
        <v>460033.99</v>
      </c>
      <c r="E53" s="28">
        <f>SUM(E38:E52)</f>
        <v>252774.82</v>
      </c>
      <c r="F53" s="27">
        <f>SUM(F38:F50)</f>
        <v>721721.31</v>
      </c>
      <c r="G53" s="27">
        <f>SUM(G38:G52)</f>
        <v>713900</v>
      </c>
    </row>
    <row r="54" spans="1:7" x14ac:dyDescent="0.25">
      <c r="A54" s="11" t="s">
        <v>95</v>
      </c>
      <c r="B54" s="161"/>
      <c r="C54" s="187"/>
      <c r="D54" s="184"/>
      <c r="E54" s="187"/>
      <c r="F54" s="187"/>
      <c r="G54" s="187"/>
    </row>
    <row r="55" spans="1:7" x14ac:dyDescent="0.25">
      <c r="A55" s="222" t="s">
        <v>183</v>
      </c>
      <c r="B55" s="37"/>
      <c r="C55" s="25"/>
      <c r="D55" s="66">
        <v>30000</v>
      </c>
      <c r="E55" s="66"/>
      <c r="F55" s="66">
        <v>30000</v>
      </c>
      <c r="G55" s="25"/>
    </row>
    <row r="56" spans="1:7" x14ac:dyDescent="0.25">
      <c r="A56" s="186" t="s">
        <v>221</v>
      </c>
      <c r="B56" s="37">
        <v>10705990</v>
      </c>
      <c r="C56" s="223">
        <v>89511.06</v>
      </c>
      <c r="D56" s="185">
        <v>72800</v>
      </c>
      <c r="E56" s="14"/>
      <c r="F56" s="14">
        <v>79800</v>
      </c>
      <c r="G56" s="14">
        <v>182000</v>
      </c>
    </row>
    <row r="57" spans="1:7" x14ac:dyDescent="0.25">
      <c r="A57" s="11" t="s">
        <v>60</v>
      </c>
      <c r="B57" s="188"/>
      <c r="C57" s="27">
        <f t="shared" ref="C57:G57" si="3">C56</f>
        <v>89511.06</v>
      </c>
      <c r="D57" s="27">
        <f>SUM(D55:D56)</f>
        <v>102800</v>
      </c>
      <c r="E57" s="27"/>
      <c r="F57" s="27">
        <f>SUM(F55:F56)</f>
        <v>109800</v>
      </c>
      <c r="G57" s="27">
        <f t="shared" si="3"/>
        <v>182000</v>
      </c>
    </row>
    <row r="58" spans="1:7" x14ac:dyDescent="0.25">
      <c r="A58" s="69" t="s">
        <v>61</v>
      </c>
      <c r="B58" s="25"/>
      <c r="C58" s="28">
        <f>C36+C53+C57</f>
        <v>3101873.38</v>
      </c>
      <c r="D58" s="28">
        <f>D57+D53</f>
        <v>562833.99</v>
      </c>
      <c r="E58" s="28">
        <f>E36+E53</f>
        <v>1519335.1500000001</v>
      </c>
      <c r="F58" s="28">
        <f>F36+F53+F57</f>
        <v>3325996.16</v>
      </c>
      <c r="G58" s="28">
        <f t="shared" ref="G58" si="4">G36+G53+G57</f>
        <v>3667741.7800000003</v>
      </c>
    </row>
    <row r="60" spans="1:7" ht="34.5" customHeight="1" x14ac:dyDescent="0.35">
      <c r="A60" s="151" t="s">
        <v>68</v>
      </c>
      <c r="B60" s="154" t="s">
        <v>69</v>
      </c>
      <c r="C60" s="154"/>
      <c r="D60" s="154"/>
      <c r="E60" s="154" t="s">
        <v>308</v>
      </c>
      <c r="F60" s="154"/>
      <c r="G60" s="151"/>
    </row>
    <row r="61" spans="1:7" ht="37.5" customHeight="1" x14ac:dyDescent="0.35">
      <c r="A61" s="151"/>
      <c r="B61" s="154"/>
      <c r="C61" s="154"/>
      <c r="D61" s="154"/>
      <c r="E61" s="154"/>
      <c r="F61" s="154"/>
      <c r="G61" s="151"/>
    </row>
    <row r="62" spans="1:7" ht="21" x14ac:dyDescent="0.35">
      <c r="A62" s="153" t="s">
        <v>184</v>
      </c>
      <c r="B62" s="155" t="s">
        <v>157</v>
      </c>
      <c r="C62" s="154"/>
      <c r="D62" s="154"/>
      <c r="E62" s="180" t="s">
        <v>167</v>
      </c>
      <c r="F62" s="181"/>
      <c r="G62" s="183"/>
    </row>
    <row r="63" spans="1:7" ht="21" x14ac:dyDescent="0.35">
      <c r="A63" s="151" t="s">
        <v>263</v>
      </c>
      <c r="B63" s="154" t="s">
        <v>257</v>
      </c>
      <c r="C63" s="154"/>
      <c r="D63" s="154"/>
      <c r="E63" s="181" t="s">
        <v>63</v>
      </c>
      <c r="F63" s="181"/>
      <c r="G63" s="183"/>
    </row>
    <row r="64" spans="1:7" ht="18.75" x14ac:dyDescent="0.3">
      <c r="A64" s="151"/>
      <c r="B64" s="151"/>
      <c r="C64" s="151"/>
      <c r="D64" s="151"/>
      <c r="E64" s="151"/>
      <c r="F64" s="151"/>
      <c r="G64" s="151"/>
    </row>
    <row r="65" spans="1:7" ht="18.75" x14ac:dyDescent="0.3">
      <c r="A65" s="151"/>
      <c r="B65" s="151"/>
      <c r="C65" s="151"/>
      <c r="D65" s="151"/>
      <c r="E65" s="151"/>
      <c r="F65" s="151"/>
      <c r="G65" s="151"/>
    </row>
    <row r="66" spans="1:7" ht="18.75" x14ac:dyDescent="0.3">
      <c r="A66" s="151"/>
      <c r="B66" s="151"/>
      <c r="C66" s="151"/>
      <c r="D66" s="151"/>
      <c r="E66" s="151"/>
      <c r="F66" s="151"/>
      <c r="G66" s="151"/>
    </row>
    <row r="67" spans="1:7" ht="18.75" x14ac:dyDescent="0.3">
      <c r="A67" s="151"/>
      <c r="B67" s="151"/>
      <c r="C67" s="151"/>
      <c r="D67" s="151"/>
      <c r="E67" s="151"/>
      <c r="F67" s="151"/>
      <c r="G67" s="151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H61"/>
  <sheetViews>
    <sheetView topLeftCell="A40" workbookViewId="0">
      <selection activeCell="A60" sqref="A60"/>
    </sheetView>
  </sheetViews>
  <sheetFormatPr defaultRowHeight="15" x14ac:dyDescent="0.25"/>
  <cols>
    <col min="1" max="1" width="47.28515625" style="16" customWidth="1"/>
    <col min="2" max="2" width="10.140625" style="16" customWidth="1"/>
    <col min="3" max="3" width="13.28515625" style="16" bestFit="1" customWidth="1"/>
    <col min="4" max="4" width="14.42578125" style="16" customWidth="1"/>
    <col min="5" max="5" width="14.140625" style="16" customWidth="1"/>
    <col min="6" max="6" width="14.28515625" style="16" customWidth="1"/>
    <col min="7" max="7" width="13.28515625" style="16" bestFit="1" customWidth="1"/>
    <col min="8" max="8" width="47.5703125" style="16" bestFit="1" customWidth="1"/>
    <col min="9" max="16384" width="9.140625" style="16"/>
  </cols>
  <sheetData>
    <row r="1" spans="1:7" x14ac:dyDescent="0.25">
      <c r="A1" s="16" t="s">
        <v>9</v>
      </c>
      <c r="G1" s="16" t="s">
        <v>96</v>
      </c>
    </row>
    <row r="3" spans="1:7" ht="21" x14ac:dyDescent="0.35">
      <c r="A3" s="602" t="s">
        <v>10</v>
      </c>
      <c r="B3" s="602"/>
      <c r="C3" s="602"/>
      <c r="D3" s="602"/>
      <c r="E3" s="602"/>
      <c r="F3" s="602"/>
      <c r="G3" s="602"/>
    </row>
    <row r="4" spans="1:7" ht="21" x14ac:dyDescent="0.35">
      <c r="A4" s="602" t="s">
        <v>127</v>
      </c>
      <c r="B4" s="602"/>
      <c r="C4" s="602"/>
      <c r="D4" s="602"/>
      <c r="E4" s="602"/>
      <c r="F4" s="602"/>
      <c r="G4" s="602"/>
    </row>
    <row r="5" spans="1:7" ht="21" x14ac:dyDescent="0.35">
      <c r="A5" s="153"/>
      <c r="B5" s="152"/>
      <c r="C5" s="152"/>
      <c r="D5" s="152"/>
      <c r="E5" s="152"/>
      <c r="F5" s="152"/>
      <c r="G5" s="152"/>
    </row>
    <row r="6" spans="1:7" ht="21" x14ac:dyDescent="0.35">
      <c r="A6" s="153" t="s">
        <v>93</v>
      </c>
      <c r="B6" s="152"/>
      <c r="C6" s="152"/>
      <c r="D6" s="152"/>
      <c r="E6" s="152"/>
      <c r="F6" s="152"/>
      <c r="G6" s="152"/>
    </row>
    <row r="7" spans="1:7" ht="21" x14ac:dyDescent="0.35">
      <c r="A7" s="152" t="s">
        <v>188</v>
      </c>
      <c r="B7" s="152"/>
      <c r="C7" s="152"/>
      <c r="D7" s="152"/>
      <c r="E7" s="152"/>
      <c r="F7" s="152"/>
      <c r="G7" s="152"/>
    </row>
    <row r="8" spans="1:7" ht="21" x14ac:dyDescent="0.35">
      <c r="A8" s="152" t="s">
        <v>82</v>
      </c>
      <c r="B8" s="152"/>
      <c r="C8" s="152"/>
      <c r="D8" s="152"/>
      <c r="E8" s="152"/>
      <c r="F8" s="152"/>
      <c r="G8" s="152"/>
    </row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0.25" customHeight="1" x14ac:dyDescent="0.25">
      <c r="A11" s="597"/>
      <c r="B11" s="599"/>
      <c r="C11" s="18" t="s">
        <v>4</v>
      </c>
      <c r="D11" s="165" t="s">
        <v>114</v>
      </c>
      <c r="E11" s="165" t="s">
        <v>108</v>
      </c>
      <c r="F11" s="17" t="s">
        <v>5</v>
      </c>
      <c r="G11" s="18" t="s">
        <v>6</v>
      </c>
    </row>
    <row r="12" spans="1:7" x14ac:dyDescent="0.25">
      <c r="A12" s="86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86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85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18"/>
      <c r="G16" s="18"/>
    </row>
    <row r="17" spans="1:8" hidden="1" x14ac:dyDescent="0.25">
      <c r="A17" s="54" t="s">
        <v>57</v>
      </c>
      <c r="B17" s="18"/>
      <c r="C17" s="18"/>
      <c r="D17" s="18"/>
      <c r="E17" s="18"/>
      <c r="F17" s="18"/>
      <c r="G17" s="18"/>
    </row>
    <row r="18" spans="1:8" x14ac:dyDescent="0.25">
      <c r="A18" s="54" t="s">
        <v>94</v>
      </c>
      <c r="B18" s="38">
        <v>50101010</v>
      </c>
      <c r="C18" s="208">
        <v>915883</v>
      </c>
      <c r="D18" s="240">
        <v>819538</v>
      </c>
      <c r="E18" s="241">
        <f>F18-D18</f>
        <v>181838</v>
      </c>
      <c r="F18" s="240">
        <v>1001376</v>
      </c>
      <c r="G18" s="65">
        <f>1111932+9833+933-94596</f>
        <v>1028102</v>
      </c>
    </row>
    <row r="19" spans="1:8" hidden="1" x14ac:dyDescent="0.25">
      <c r="A19" s="54" t="s">
        <v>94</v>
      </c>
      <c r="B19" s="52">
        <v>50101</v>
      </c>
      <c r="C19" s="76"/>
      <c r="D19" s="240"/>
      <c r="E19" s="241">
        <f t="shared" ref="E19:E36" si="0">F19-D19</f>
        <v>0</v>
      </c>
      <c r="F19" s="240"/>
      <c r="G19" s="43"/>
    </row>
    <row r="20" spans="1:8" hidden="1" x14ac:dyDescent="0.25">
      <c r="A20" s="54" t="s">
        <v>94</v>
      </c>
      <c r="B20" s="18"/>
      <c r="C20" s="76"/>
      <c r="D20" s="240"/>
      <c r="E20" s="241">
        <f t="shared" si="0"/>
        <v>0</v>
      </c>
      <c r="F20" s="240"/>
      <c r="G20" s="43"/>
    </row>
    <row r="21" spans="1:8" hidden="1" x14ac:dyDescent="0.25">
      <c r="A21" s="54" t="s">
        <v>94</v>
      </c>
      <c r="B21" s="18"/>
      <c r="C21" s="76"/>
      <c r="D21" s="240"/>
      <c r="E21" s="241">
        <f t="shared" si="0"/>
        <v>0</v>
      </c>
      <c r="F21" s="240"/>
      <c r="G21" s="43"/>
    </row>
    <row r="22" spans="1:8" x14ac:dyDescent="0.25">
      <c r="A22" s="54" t="s">
        <v>159</v>
      </c>
      <c r="B22" s="18"/>
      <c r="C22" s="76"/>
      <c r="D22" s="240">
        <v>107250</v>
      </c>
      <c r="E22" s="241">
        <f t="shared" si="0"/>
        <v>11350</v>
      </c>
      <c r="F22" s="240">
        <v>118600</v>
      </c>
      <c r="G22" s="76">
        <v>150000</v>
      </c>
      <c r="H22" s="16">
        <v>100000</v>
      </c>
    </row>
    <row r="23" spans="1:8" x14ac:dyDescent="0.25">
      <c r="A23" s="72" t="s">
        <v>52</v>
      </c>
      <c r="B23" s="52">
        <v>50102010</v>
      </c>
      <c r="C23" s="208">
        <v>120000</v>
      </c>
      <c r="D23" s="240">
        <v>100000</v>
      </c>
      <c r="E23" s="241">
        <f t="shared" si="0"/>
        <v>20000</v>
      </c>
      <c r="F23" s="240">
        <v>120000</v>
      </c>
      <c r="G23" s="65">
        <f>120000-24000</f>
        <v>96000</v>
      </c>
    </row>
    <row r="24" spans="1:8" x14ac:dyDescent="0.25">
      <c r="A24" s="72" t="s">
        <v>51</v>
      </c>
      <c r="B24" s="52">
        <v>50102020</v>
      </c>
      <c r="C24" s="208">
        <v>67500</v>
      </c>
      <c r="D24" s="240"/>
      <c r="E24" s="241">
        <f t="shared" si="0"/>
        <v>67500</v>
      </c>
      <c r="F24" s="240">
        <v>67500</v>
      </c>
      <c r="G24" s="65">
        <v>67500</v>
      </c>
    </row>
    <row r="25" spans="1:8" x14ac:dyDescent="0.25">
      <c r="A25" s="72" t="s">
        <v>48</v>
      </c>
      <c r="B25" s="52">
        <v>50102030</v>
      </c>
      <c r="C25" s="208">
        <v>67500</v>
      </c>
      <c r="D25" s="240"/>
      <c r="E25" s="241">
        <f t="shared" si="0"/>
        <v>67500</v>
      </c>
      <c r="F25" s="240">
        <v>67500</v>
      </c>
      <c r="G25" s="65">
        <v>67500</v>
      </c>
    </row>
    <row r="26" spans="1:8" x14ac:dyDescent="0.25">
      <c r="A26" s="72" t="s">
        <v>49</v>
      </c>
      <c r="B26" s="52">
        <v>50102040</v>
      </c>
      <c r="C26" s="208">
        <v>25000</v>
      </c>
      <c r="D26" s="240"/>
      <c r="E26" s="241">
        <f t="shared" si="0"/>
        <v>25000</v>
      </c>
      <c r="F26" s="240">
        <v>25000</v>
      </c>
      <c r="G26" s="65">
        <f>25000-5000</f>
        <v>20000</v>
      </c>
    </row>
    <row r="27" spans="1:8" hidden="1" x14ac:dyDescent="0.25">
      <c r="A27" s="72" t="s">
        <v>50</v>
      </c>
      <c r="B27" s="52">
        <v>50102080</v>
      </c>
      <c r="C27" s="76"/>
      <c r="D27" s="240"/>
      <c r="E27" s="241">
        <f t="shared" si="0"/>
        <v>0</v>
      </c>
      <c r="F27" s="240"/>
      <c r="G27" s="43"/>
    </row>
    <row r="28" spans="1:8" x14ac:dyDescent="0.25">
      <c r="A28" s="72" t="s">
        <v>47</v>
      </c>
      <c r="B28" s="52">
        <v>50102150</v>
      </c>
      <c r="C28" s="208">
        <v>25000</v>
      </c>
      <c r="D28" s="240"/>
      <c r="E28" s="241">
        <f t="shared" si="0"/>
        <v>25000</v>
      </c>
      <c r="F28" s="240">
        <v>25000</v>
      </c>
      <c r="G28" s="65">
        <v>25000</v>
      </c>
    </row>
    <row r="29" spans="1:8" x14ac:dyDescent="0.25">
      <c r="A29" s="72" t="s">
        <v>46</v>
      </c>
      <c r="B29" s="52">
        <v>50102140</v>
      </c>
      <c r="C29" s="208">
        <v>113477</v>
      </c>
      <c r="D29" s="240"/>
      <c r="E29" s="241">
        <f t="shared" si="0"/>
        <v>83448</v>
      </c>
      <c r="F29" s="240">
        <v>83448</v>
      </c>
      <c r="G29" s="65">
        <f>92661-7883</f>
        <v>84778</v>
      </c>
    </row>
    <row r="30" spans="1:8" x14ac:dyDescent="0.25">
      <c r="A30" s="72" t="s">
        <v>39</v>
      </c>
      <c r="B30" s="52">
        <v>50102990</v>
      </c>
      <c r="C30" s="208">
        <v>63477</v>
      </c>
      <c r="D30" s="240"/>
      <c r="E30" s="241">
        <f t="shared" si="0"/>
        <v>83448</v>
      </c>
      <c r="F30" s="240">
        <v>83448</v>
      </c>
      <c r="G30" s="65">
        <f>92661-7883</f>
        <v>84778</v>
      </c>
    </row>
    <row r="31" spans="1:8" x14ac:dyDescent="0.25">
      <c r="A31" s="72" t="s">
        <v>40</v>
      </c>
      <c r="B31" s="52">
        <v>50103010</v>
      </c>
      <c r="C31" s="208">
        <v>112406.88</v>
      </c>
      <c r="D31" s="240">
        <v>98614.52</v>
      </c>
      <c r="E31" s="241">
        <f t="shared" si="0"/>
        <v>21820.559999999998</v>
      </c>
      <c r="F31" s="240">
        <v>120435.08</v>
      </c>
      <c r="G31" s="65">
        <f>133431.84-11351.52</f>
        <v>122080.31999999999</v>
      </c>
    </row>
    <row r="32" spans="1:8" x14ac:dyDescent="0.25">
      <c r="A32" s="72" t="s">
        <v>41</v>
      </c>
      <c r="B32" s="52">
        <v>50103020</v>
      </c>
      <c r="C32" s="208">
        <v>6000</v>
      </c>
      <c r="D32" s="240">
        <v>5000</v>
      </c>
      <c r="E32" s="241">
        <f t="shared" si="0"/>
        <v>1000</v>
      </c>
      <c r="F32" s="240">
        <v>6000</v>
      </c>
      <c r="G32" s="65">
        <f>6000-1200</f>
        <v>4800</v>
      </c>
    </row>
    <row r="33" spans="1:7" x14ac:dyDescent="0.25">
      <c r="A33" s="72" t="s">
        <v>42</v>
      </c>
      <c r="B33" s="52">
        <v>50103030</v>
      </c>
      <c r="C33" s="208">
        <v>10450</v>
      </c>
      <c r="D33" s="240">
        <v>8712.5</v>
      </c>
      <c r="E33" s="241">
        <f t="shared" si="0"/>
        <v>1750</v>
      </c>
      <c r="F33" s="240">
        <v>10462.5</v>
      </c>
      <c r="G33" s="65">
        <f>10050-1200</f>
        <v>8850</v>
      </c>
    </row>
    <row r="34" spans="1:7" x14ac:dyDescent="0.25">
      <c r="A34" s="72" t="s">
        <v>43</v>
      </c>
      <c r="B34" s="52">
        <v>50103040</v>
      </c>
      <c r="C34" s="208">
        <v>5225.82</v>
      </c>
      <c r="D34" s="240">
        <v>4386.28</v>
      </c>
      <c r="E34" s="241">
        <f t="shared" si="0"/>
        <v>881.76000000000022</v>
      </c>
      <c r="F34" s="240">
        <v>5268.04</v>
      </c>
      <c r="G34" s="65">
        <f>11119.32-945.96</f>
        <v>10173.36</v>
      </c>
    </row>
    <row r="35" spans="1:7" x14ac:dyDescent="0.25">
      <c r="A35" s="72" t="s">
        <v>44</v>
      </c>
      <c r="B35" s="52">
        <v>50104990</v>
      </c>
      <c r="C35" s="14">
        <v>67531.259999999995</v>
      </c>
      <c r="D35" s="14"/>
      <c r="E35" s="241">
        <f t="shared" si="0"/>
        <v>76823.98</v>
      </c>
      <c r="F35" s="14">
        <v>76823.98</v>
      </c>
      <c r="G35" s="64">
        <f>89311.68-7598.06</f>
        <v>81713.62</v>
      </c>
    </row>
    <row r="36" spans="1:7" x14ac:dyDescent="0.25">
      <c r="A36" s="72" t="s">
        <v>45</v>
      </c>
      <c r="B36" s="52">
        <v>50102990</v>
      </c>
      <c r="C36" s="14">
        <v>25000</v>
      </c>
      <c r="D36" s="14"/>
      <c r="E36" s="241">
        <f t="shared" si="0"/>
        <v>25000</v>
      </c>
      <c r="F36" s="14">
        <v>25000</v>
      </c>
      <c r="G36" s="64">
        <f>25000-5000</f>
        <v>20000</v>
      </c>
    </row>
    <row r="37" spans="1:7" x14ac:dyDescent="0.25">
      <c r="A37" s="27" t="s">
        <v>58</v>
      </c>
      <c r="B37" s="26"/>
      <c r="C37" s="27">
        <f>SUM(C17:C36)</f>
        <v>1624450.96</v>
      </c>
      <c r="D37" s="27">
        <f t="shared" ref="D37:F37" si="1">SUM(D17:D36)</f>
        <v>1143501.3</v>
      </c>
      <c r="E37" s="27">
        <f t="shared" si="1"/>
        <v>692360.3</v>
      </c>
      <c r="F37" s="27">
        <f t="shared" si="1"/>
        <v>1835861.6</v>
      </c>
      <c r="G37" s="27">
        <f t="shared" ref="G37" si="2">SUM(G17:G36)</f>
        <v>1871275.3000000003</v>
      </c>
    </row>
    <row r="38" spans="1:7" x14ac:dyDescent="0.25">
      <c r="A38" s="24" t="s">
        <v>14</v>
      </c>
      <c r="B38" s="23"/>
      <c r="C38" s="23"/>
      <c r="D38" s="23"/>
      <c r="E38" s="23"/>
      <c r="F38" s="23"/>
      <c r="G38" s="23"/>
    </row>
    <row r="39" spans="1:7" x14ac:dyDescent="0.25">
      <c r="A39" s="54" t="s">
        <v>17</v>
      </c>
      <c r="B39" s="29">
        <v>50203010</v>
      </c>
      <c r="C39" s="14">
        <v>43343.23</v>
      </c>
      <c r="D39" s="9">
        <v>7765.58</v>
      </c>
      <c r="E39" s="35">
        <f>F39-D39</f>
        <v>20924.059999999998</v>
      </c>
      <c r="F39" s="64">
        <v>28689.64</v>
      </c>
      <c r="G39" s="9">
        <v>50000</v>
      </c>
    </row>
    <row r="40" spans="1:7" x14ac:dyDescent="0.25">
      <c r="A40" s="54" t="s">
        <v>158</v>
      </c>
      <c r="B40" s="29">
        <v>50201010</v>
      </c>
      <c r="C40" s="14">
        <v>71165</v>
      </c>
      <c r="D40" s="9">
        <v>44079</v>
      </c>
      <c r="E40" s="35">
        <f>F40-D40</f>
        <v>20421.32</v>
      </c>
      <c r="F40" s="64">
        <v>64500.32</v>
      </c>
      <c r="G40" s="9">
        <v>65000</v>
      </c>
    </row>
    <row r="41" spans="1:7" x14ac:dyDescent="0.25">
      <c r="A41" s="54" t="s">
        <v>27</v>
      </c>
      <c r="B41" s="31">
        <v>50202010</v>
      </c>
      <c r="C41" s="14">
        <v>61760</v>
      </c>
      <c r="D41" s="9">
        <v>38530</v>
      </c>
      <c r="E41" s="35">
        <f>F41-D41</f>
        <v>21620</v>
      </c>
      <c r="F41" s="64">
        <v>60150</v>
      </c>
      <c r="G41" s="9">
        <v>66000</v>
      </c>
    </row>
    <row r="42" spans="1:7" x14ac:dyDescent="0.25">
      <c r="A42" s="54" t="s">
        <v>29</v>
      </c>
      <c r="B42" s="31">
        <v>50205020</v>
      </c>
      <c r="C42" s="14"/>
      <c r="D42" s="9"/>
      <c r="F42" s="64"/>
      <c r="G42" s="9"/>
    </row>
    <row r="43" spans="1:7" x14ac:dyDescent="0.25">
      <c r="A43" s="54" t="s">
        <v>163</v>
      </c>
      <c r="B43" s="31">
        <v>5021990</v>
      </c>
      <c r="C43" s="14">
        <v>271155.09000000003</v>
      </c>
      <c r="D43" s="9"/>
      <c r="E43" s="35">
        <f>F43-D43</f>
        <v>109954</v>
      </c>
      <c r="F43" s="64">
        <v>109954</v>
      </c>
      <c r="G43" s="9"/>
    </row>
    <row r="44" spans="1:7" x14ac:dyDescent="0.25">
      <c r="A44" s="54" t="s">
        <v>31</v>
      </c>
      <c r="B44" s="31">
        <v>50213990</v>
      </c>
      <c r="C44" s="14"/>
      <c r="D44" s="9"/>
      <c r="F44" s="64"/>
      <c r="G44" s="9">
        <v>12500</v>
      </c>
    </row>
    <row r="45" spans="1:7" x14ac:dyDescent="0.25">
      <c r="A45" s="54" t="s">
        <v>160</v>
      </c>
      <c r="B45" s="31"/>
      <c r="C45" s="14">
        <v>1650</v>
      </c>
      <c r="D45" s="9"/>
      <c r="E45" s="64"/>
      <c r="F45" s="14"/>
      <c r="G45" s="9">
        <v>16000</v>
      </c>
    </row>
    <row r="46" spans="1:7" x14ac:dyDescent="0.25">
      <c r="A46" s="54" t="s">
        <v>164</v>
      </c>
      <c r="B46" s="38">
        <v>50203090</v>
      </c>
      <c r="C46" s="14"/>
      <c r="D46" s="9"/>
      <c r="E46" s="64">
        <f t="shared" ref="E46" si="3">F46-D46</f>
        <v>0</v>
      </c>
      <c r="F46" s="14"/>
      <c r="G46" s="9"/>
    </row>
    <row r="47" spans="1:7" x14ac:dyDescent="0.25">
      <c r="A47" s="54" t="s">
        <v>235</v>
      </c>
      <c r="B47" s="38"/>
      <c r="C47" s="14"/>
      <c r="D47" s="9">
        <v>11350</v>
      </c>
      <c r="E47" s="64"/>
      <c r="F47" s="14"/>
      <c r="G47" s="9"/>
    </row>
    <row r="48" spans="1:7" x14ac:dyDescent="0.25">
      <c r="A48" s="26" t="s">
        <v>24</v>
      </c>
      <c r="B48" s="34"/>
      <c r="C48" s="27">
        <f>SUM(C39:C46)</f>
        <v>449073.32000000007</v>
      </c>
      <c r="D48" s="27">
        <f>SUM(D39:D47)</f>
        <v>101724.58</v>
      </c>
      <c r="E48" s="27">
        <f>SUM(E39:E46)</f>
        <v>172919.38</v>
      </c>
      <c r="F48" s="27">
        <f>SUM(F39:F46)</f>
        <v>263293.95999999996</v>
      </c>
      <c r="G48" s="27">
        <f>SUM(G39:G46)</f>
        <v>209500</v>
      </c>
    </row>
    <row r="49" spans="1:8" hidden="1" x14ac:dyDescent="0.25">
      <c r="A49" s="24" t="s">
        <v>12</v>
      </c>
      <c r="B49" s="23"/>
      <c r="C49" s="23"/>
      <c r="D49" s="23"/>
      <c r="E49" s="23"/>
      <c r="F49" s="23"/>
      <c r="G49" s="23"/>
    </row>
    <row r="50" spans="1:8" x14ac:dyDescent="0.25">
      <c r="A50" s="24" t="s">
        <v>13</v>
      </c>
      <c r="B50" s="23"/>
      <c r="C50" s="23"/>
      <c r="D50" s="23"/>
      <c r="E50" s="23"/>
      <c r="F50" s="23"/>
      <c r="G50" s="23"/>
    </row>
    <row r="51" spans="1:8" x14ac:dyDescent="0.25">
      <c r="A51" s="54" t="s">
        <v>131</v>
      </c>
      <c r="B51" s="5">
        <v>10705990</v>
      </c>
      <c r="C51" s="14">
        <v>41249.089999999997</v>
      </c>
      <c r="D51" s="14"/>
      <c r="F51" s="14">
        <v>22591.56</v>
      </c>
      <c r="G51" s="14"/>
    </row>
    <row r="52" spans="1:8" x14ac:dyDescent="0.25">
      <c r="A52" s="12" t="s">
        <v>60</v>
      </c>
      <c r="B52" s="27"/>
      <c r="C52" s="27">
        <f>SUM(C51:C51)</f>
        <v>41249.089999999997</v>
      </c>
      <c r="D52" s="27"/>
      <c r="E52" s="27"/>
      <c r="F52" s="27">
        <f>SUM(F51)</f>
        <v>22591.56</v>
      </c>
      <c r="G52" s="27"/>
    </row>
    <row r="53" spans="1:8" x14ac:dyDescent="0.25">
      <c r="A53" s="69" t="s">
        <v>61</v>
      </c>
      <c r="B53" s="27"/>
      <c r="C53" s="27">
        <f>C37+C48+C52</f>
        <v>2114773.37</v>
      </c>
      <c r="D53" s="27">
        <f>D37+D48+D52</f>
        <v>1245225.8800000001</v>
      </c>
      <c r="E53" s="27">
        <f>E37+E48+E52</f>
        <v>865279.68</v>
      </c>
      <c r="F53" s="27">
        <f>F37+F48+F52</f>
        <v>2121747.12</v>
      </c>
      <c r="G53" s="27">
        <f>G37+G48+G52</f>
        <v>2080775.3000000003</v>
      </c>
      <c r="H53" s="35"/>
    </row>
    <row r="55" spans="1:8" ht="23.25" customHeight="1" x14ac:dyDescent="0.35">
      <c r="A55" s="152" t="s">
        <v>68</v>
      </c>
      <c r="B55" s="154" t="s">
        <v>69</v>
      </c>
      <c r="C55" s="154"/>
      <c r="D55" s="154"/>
      <c r="E55" s="154" t="s">
        <v>70</v>
      </c>
      <c r="F55" s="154"/>
      <c r="G55" s="152"/>
    </row>
    <row r="56" spans="1:8" ht="38.25" customHeight="1" x14ac:dyDescent="0.35">
      <c r="A56" s="152"/>
      <c r="B56" s="154"/>
      <c r="C56" s="154"/>
      <c r="D56" s="154"/>
      <c r="E56" s="154"/>
      <c r="F56" s="154"/>
      <c r="G56" s="152"/>
    </row>
    <row r="57" spans="1:8" ht="21" x14ac:dyDescent="0.35">
      <c r="A57" s="153" t="s">
        <v>187</v>
      </c>
      <c r="B57" s="155" t="s">
        <v>157</v>
      </c>
      <c r="C57" s="154"/>
      <c r="D57" s="154"/>
      <c r="E57" s="180" t="s">
        <v>167</v>
      </c>
      <c r="F57" s="181"/>
      <c r="G57" s="182"/>
    </row>
    <row r="58" spans="1:8" ht="21" x14ac:dyDescent="0.35">
      <c r="A58" s="152" t="s">
        <v>260</v>
      </c>
      <c r="B58" s="154" t="s">
        <v>257</v>
      </c>
      <c r="C58" s="154"/>
      <c r="D58" s="154"/>
      <c r="E58" s="181" t="s">
        <v>63</v>
      </c>
      <c r="F58" s="181"/>
      <c r="G58" s="182"/>
    </row>
    <row r="59" spans="1:8" ht="21" x14ac:dyDescent="0.35">
      <c r="A59" s="152"/>
      <c r="B59" s="152"/>
      <c r="C59" s="152"/>
      <c r="D59" s="152"/>
      <c r="E59" s="152"/>
      <c r="F59" s="152"/>
      <c r="G59" s="152"/>
    </row>
    <row r="60" spans="1:8" ht="21" x14ac:dyDescent="0.35">
      <c r="A60" s="152"/>
      <c r="B60" s="152"/>
      <c r="C60" s="152"/>
      <c r="D60" s="152"/>
      <c r="E60" s="152"/>
      <c r="F60" s="152"/>
      <c r="G60" s="152"/>
    </row>
    <row r="61" spans="1:8" ht="21" x14ac:dyDescent="0.35">
      <c r="A61" s="152"/>
      <c r="B61" s="152"/>
      <c r="C61" s="152"/>
      <c r="D61" s="152"/>
      <c r="E61" s="152"/>
      <c r="F61" s="152"/>
      <c r="G61" s="152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0.94" right="0" top="0.75" bottom="0" header="0" footer="0"/>
  <pageSetup paperSize="5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H68"/>
  <sheetViews>
    <sheetView topLeftCell="A49" workbookViewId="0">
      <selection activeCell="A65" sqref="A65"/>
    </sheetView>
  </sheetViews>
  <sheetFormatPr defaultRowHeight="15" x14ac:dyDescent="0.25"/>
  <cols>
    <col min="1" max="1" width="46.85546875" style="16" customWidth="1"/>
    <col min="2" max="2" width="10.140625" style="16" customWidth="1"/>
    <col min="3" max="3" width="15.28515625" style="16" customWidth="1"/>
    <col min="4" max="4" width="13.28515625" style="16" bestFit="1" customWidth="1"/>
    <col min="5" max="5" width="13.140625" style="16" customWidth="1"/>
    <col min="6" max="7" width="14.28515625" style="16" bestFit="1" customWidth="1"/>
    <col min="8" max="8" width="47.5703125" style="16" bestFit="1" customWidth="1"/>
    <col min="9" max="9" width="13.28515625" style="16" bestFit="1" customWidth="1"/>
    <col min="10" max="16384" width="9.140625" style="16"/>
  </cols>
  <sheetData>
    <row r="1" spans="1:7" x14ac:dyDescent="0.25">
      <c r="A1" s="16" t="s">
        <v>9</v>
      </c>
      <c r="G1" s="16" t="s">
        <v>96</v>
      </c>
    </row>
    <row r="2" spans="1:7" ht="21" x14ac:dyDescent="0.35">
      <c r="A2" s="152"/>
      <c r="B2" s="152"/>
      <c r="C2" s="152"/>
      <c r="D2" s="152"/>
      <c r="E2" s="152"/>
      <c r="F2" s="152"/>
      <c r="G2" s="152"/>
    </row>
    <row r="3" spans="1:7" ht="21" x14ac:dyDescent="0.35">
      <c r="A3" s="602" t="s">
        <v>10</v>
      </c>
      <c r="B3" s="602"/>
      <c r="C3" s="602"/>
      <c r="D3" s="602"/>
      <c r="E3" s="602"/>
      <c r="F3" s="602"/>
      <c r="G3" s="602"/>
    </row>
    <row r="4" spans="1:7" ht="21" x14ac:dyDescent="0.35">
      <c r="A4" s="602" t="s">
        <v>71</v>
      </c>
      <c r="B4" s="602"/>
      <c r="C4" s="602"/>
      <c r="D4" s="602"/>
      <c r="E4" s="602"/>
      <c r="F4" s="602"/>
      <c r="G4" s="602"/>
    </row>
    <row r="5" spans="1:7" ht="21" x14ac:dyDescent="0.35">
      <c r="A5" s="153"/>
      <c r="B5" s="152"/>
      <c r="C5" s="152"/>
      <c r="D5" s="152"/>
      <c r="E5" s="152"/>
      <c r="F5" s="152"/>
      <c r="G5" s="152"/>
    </row>
    <row r="6" spans="1:7" ht="21" x14ac:dyDescent="0.35">
      <c r="A6" s="152" t="s">
        <v>80</v>
      </c>
      <c r="B6" s="152"/>
      <c r="C6" s="152"/>
      <c r="D6" s="152"/>
      <c r="E6" s="152"/>
      <c r="F6" s="152"/>
      <c r="G6" s="152"/>
    </row>
    <row r="7" spans="1:7" ht="21" x14ac:dyDescent="0.35">
      <c r="A7" s="152" t="s">
        <v>79</v>
      </c>
      <c r="B7" s="152"/>
      <c r="C7" s="152"/>
      <c r="D7" s="152"/>
      <c r="E7" s="152"/>
      <c r="F7" s="152"/>
      <c r="G7" s="152"/>
    </row>
    <row r="8" spans="1:7" ht="21" x14ac:dyDescent="0.35">
      <c r="A8" s="151" t="s">
        <v>73</v>
      </c>
      <c r="B8" s="152"/>
      <c r="C8" s="152"/>
      <c r="D8" s="152"/>
      <c r="E8" s="152"/>
      <c r="F8" s="152"/>
      <c r="G8" s="152"/>
    </row>
    <row r="9" spans="1:7" ht="21" x14ac:dyDescent="0.35">
      <c r="A9" s="152"/>
      <c r="B9" s="152"/>
      <c r="C9" s="152"/>
      <c r="D9" s="152"/>
      <c r="E9" s="152"/>
      <c r="F9" s="152"/>
      <c r="G9" s="152"/>
    </row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5.5" customHeight="1" x14ac:dyDescent="0.25">
      <c r="A11" s="597"/>
      <c r="B11" s="599"/>
      <c r="C11" s="18" t="s">
        <v>4</v>
      </c>
      <c r="D11" s="165" t="s">
        <v>116</v>
      </c>
      <c r="E11" s="165" t="s">
        <v>115</v>
      </c>
      <c r="F11" s="17" t="s">
        <v>5</v>
      </c>
      <c r="G11" s="18" t="s">
        <v>6</v>
      </c>
    </row>
    <row r="12" spans="1:7" x14ac:dyDescent="0.25">
      <c r="A12" s="86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86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85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18"/>
      <c r="G16" s="18"/>
    </row>
    <row r="17" spans="1:8" hidden="1" x14ac:dyDescent="0.25">
      <c r="A17" s="54" t="s">
        <v>57</v>
      </c>
      <c r="B17" s="18"/>
      <c r="C17" s="18"/>
      <c r="D17" s="18"/>
      <c r="E17" s="18"/>
      <c r="F17" s="18"/>
      <c r="G17" s="18"/>
    </row>
    <row r="18" spans="1:8" x14ac:dyDescent="0.25">
      <c r="A18" s="54" t="s">
        <v>56</v>
      </c>
      <c r="B18" s="38">
        <v>50101010</v>
      </c>
      <c r="C18" s="221">
        <v>1136175</v>
      </c>
      <c r="D18" s="240">
        <v>1853566</v>
      </c>
      <c r="E18" s="240">
        <f>F18-D18</f>
        <v>612804.27</v>
      </c>
      <c r="F18" s="240">
        <v>2466370.27</v>
      </c>
      <c r="G18" s="65">
        <v>3136380</v>
      </c>
    </row>
    <row r="19" spans="1:8" ht="15" hidden="1" customHeight="1" x14ac:dyDescent="0.25">
      <c r="A19" s="54" t="s">
        <v>56</v>
      </c>
      <c r="B19" s="52">
        <v>50101</v>
      </c>
      <c r="C19" s="76"/>
      <c r="D19" s="18"/>
      <c r="E19" s="240">
        <f t="shared" ref="E19:E39" si="0">F19-D19</f>
        <v>0</v>
      </c>
      <c r="F19" s="240"/>
      <c r="G19" s="43"/>
    </row>
    <row r="20" spans="1:8" ht="15" hidden="1" customHeight="1" x14ac:dyDescent="0.25">
      <c r="A20" s="54" t="s">
        <v>56</v>
      </c>
      <c r="B20" s="18"/>
      <c r="C20" s="76"/>
      <c r="D20" s="18"/>
      <c r="E20" s="240">
        <f t="shared" si="0"/>
        <v>0</v>
      </c>
      <c r="F20" s="240"/>
      <c r="G20" s="43"/>
    </row>
    <row r="21" spans="1:8" ht="15" hidden="1" customHeight="1" x14ac:dyDescent="0.25">
      <c r="A21" s="54" t="s">
        <v>56</v>
      </c>
      <c r="B21" s="18"/>
      <c r="C21" s="76"/>
      <c r="D21" s="18"/>
      <c r="E21" s="240">
        <f t="shared" si="0"/>
        <v>0</v>
      </c>
      <c r="F21" s="240"/>
      <c r="G21" s="43"/>
    </row>
    <row r="22" spans="1:8" x14ac:dyDescent="0.25">
      <c r="A22" s="54" t="s">
        <v>98</v>
      </c>
      <c r="B22" s="18"/>
      <c r="C22" s="76"/>
      <c r="D22" s="240">
        <v>62590</v>
      </c>
      <c r="E22" s="240">
        <f t="shared" si="0"/>
        <v>37859.089999999997</v>
      </c>
      <c r="F22" s="240">
        <v>100449.09</v>
      </c>
      <c r="G22" s="76">
        <v>100640</v>
      </c>
      <c r="H22" s="16">
        <v>100000</v>
      </c>
    </row>
    <row r="23" spans="1:8" x14ac:dyDescent="0.25">
      <c r="A23" s="72" t="s">
        <v>52</v>
      </c>
      <c r="B23" s="52">
        <v>50102010</v>
      </c>
      <c r="C23" s="221">
        <v>90000</v>
      </c>
      <c r="D23" s="240">
        <v>156000</v>
      </c>
      <c r="E23" s="240">
        <f t="shared" si="0"/>
        <v>34500</v>
      </c>
      <c r="F23" s="240">
        <v>190500</v>
      </c>
      <c r="G23" s="65">
        <v>216000</v>
      </c>
    </row>
    <row r="24" spans="1:8" x14ac:dyDescent="0.25">
      <c r="A24" s="72" t="s">
        <v>51</v>
      </c>
      <c r="B24" s="52">
        <v>50102020</v>
      </c>
      <c r="C24" s="221">
        <v>28125</v>
      </c>
      <c r="D24" s="240"/>
      <c r="E24" s="240">
        <f t="shared" si="0"/>
        <v>67500</v>
      </c>
      <c r="F24" s="240">
        <v>67500</v>
      </c>
      <c r="G24" s="65">
        <v>67500</v>
      </c>
    </row>
    <row r="25" spans="1:8" x14ac:dyDescent="0.25">
      <c r="A25" s="72" t="s">
        <v>48</v>
      </c>
      <c r="B25" s="52">
        <v>50102030</v>
      </c>
      <c r="C25" s="221">
        <v>28125</v>
      </c>
      <c r="D25" s="240"/>
      <c r="E25" s="240">
        <f t="shared" si="0"/>
        <v>67500</v>
      </c>
      <c r="F25" s="240">
        <v>67500</v>
      </c>
      <c r="G25" s="65">
        <v>67500</v>
      </c>
    </row>
    <row r="26" spans="1:8" x14ac:dyDescent="0.25">
      <c r="A26" s="72" t="s">
        <v>49</v>
      </c>
      <c r="B26" s="52">
        <v>50102040</v>
      </c>
      <c r="C26" s="221">
        <v>45000</v>
      </c>
      <c r="D26" s="240"/>
      <c r="E26" s="240">
        <f t="shared" si="0"/>
        <v>45000</v>
      </c>
      <c r="F26" s="240">
        <v>45000</v>
      </c>
      <c r="G26" s="65">
        <v>45000</v>
      </c>
    </row>
    <row r="27" spans="1:8" ht="15" hidden="1" customHeight="1" x14ac:dyDescent="0.25">
      <c r="A27" s="72" t="s">
        <v>50</v>
      </c>
      <c r="B27" s="52">
        <v>50102080</v>
      </c>
      <c r="C27" s="76"/>
      <c r="D27" s="240"/>
      <c r="E27" s="240">
        <f t="shared" si="0"/>
        <v>0</v>
      </c>
      <c r="F27" s="240"/>
      <c r="G27" s="43"/>
    </row>
    <row r="28" spans="1:8" x14ac:dyDescent="0.25">
      <c r="A28" s="72" t="s">
        <v>47</v>
      </c>
      <c r="B28" s="52">
        <v>50102150</v>
      </c>
      <c r="C28" s="221">
        <v>22500</v>
      </c>
      <c r="D28" s="240"/>
      <c r="E28" s="240">
        <f t="shared" si="0"/>
        <v>44000</v>
      </c>
      <c r="F28" s="240">
        <v>44000</v>
      </c>
      <c r="G28" s="65">
        <v>45000</v>
      </c>
    </row>
    <row r="29" spans="1:8" x14ac:dyDescent="0.25">
      <c r="A29" s="72" t="s">
        <v>46</v>
      </c>
      <c r="B29" s="52">
        <v>50102140</v>
      </c>
      <c r="C29" s="76"/>
      <c r="D29" s="240"/>
      <c r="E29" s="240">
        <f t="shared" si="0"/>
        <v>236456.2</v>
      </c>
      <c r="F29" s="240">
        <v>236456.2</v>
      </c>
      <c r="G29" s="65">
        <v>261365</v>
      </c>
    </row>
    <row r="30" spans="1:8" x14ac:dyDescent="0.25">
      <c r="A30" s="72" t="s">
        <v>39</v>
      </c>
      <c r="B30" s="52">
        <v>50102990</v>
      </c>
      <c r="C30" s="221">
        <f>227235-22500</f>
        <v>204735</v>
      </c>
      <c r="D30" s="240"/>
      <c r="E30" s="240">
        <f t="shared" si="0"/>
        <v>242654</v>
      </c>
      <c r="F30" s="240">
        <v>242654</v>
      </c>
      <c r="G30" s="65">
        <v>261365</v>
      </c>
    </row>
    <row r="31" spans="1:8" x14ac:dyDescent="0.25">
      <c r="A31" s="72" t="s">
        <v>40</v>
      </c>
      <c r="B31" s="52">
        <v>50103010</v>
      </c>
      <c r="C31" s="221">
        <v>136341</v>
      </c>
      <c r="D31" s="240">
        <v>171075.6</v>
      </c>
      <c r="E31" s="240">
        <f t="shared" si="0"/>
        <v>67255.51999999999</v>
      </c>
      <c r="F31" s="112">
        <v>238331.12</v>
      </c>
      <c r="G31" s="65">
        <v>376365.6</v>
      </c>
      <c r="H31" s="168"/>
    </row>
    <row r="32" spans="1:8" x14ac:dyDescent="0.25">
      <c r="A32" s="72" t="s">
        <v>41</v>
      </c>
      <c r="B32" s="52">
        <v>50103020</v>
      </c>
      <c r="C32" s="221">
        <v>4500</v>
      </c>
      <c r="D32" s="240">
        <v>5400</v>
      </c>
      <c r="E32" s="240">
        <f t="shared" si="0"/>
        <v>2000</v>
      </c>
      <c r="F32" s="112">
        <v>7400</v>
      </c>
      <c r="G32" s="65">
        <v>10800</v>
      </c>
    </row>
    <row r="33" spans="1:8" x14ac:dyDescent="0.25">
      <c r="A33" s="72" t="s">
        <v>42</v>
      </c>
      <c r="B33" s="52">
        <v>50103030</v>
      </c>
      <c r="C33" s="221">
        <v>12450</v>
      </c>
      <c r="D33" s="240">
        <v>21237.5</v>
      </c>
      <c r="E33" s="240">
        <f t="shared" si="0"/>
        <v>4987.5</v>
      </c>
      <c r="F33" s="112">
        <v>26225</v>
      </c>
      <c r="G33" s="65">
        <v>28650</v>
      </c>
    </row>
    <row r="34" spans="1:8" x14ac:dyDescent="0.25">
      <c r="A34" s="72" t="s">
        <v>43</v>
      </c>
      <c r="B34" s="52">
        <v>50103040</v>
      </c>
      <c r="C34" s="221">
        <v>4500</v>
      </c>
      <c r="D34" s="240">
        <v>5400</v>
      </c>
      <c r="E34" s="240">
        <f t="shared" si="0"/>
        <v>2000</v>
      </c>
      <c r="F34" s="112">
        <v>7400</v>
      </c>
      <c r="G34" s="65">
        <v>23522.76</v>
      </c>
    </row>
    <row r="35" spans="1:8" x14ac:dyDescent="0.25">
      <c r="A35" s="72" t="s">
        <v>44</v>
      </c>
      <c r="B35" s="29">
        <v>50104990</v>
      </c>
      <c r="C35" s="14">
        <v>219021.36</v>
      </c>
      <c r="D35" s="14"/>
      <c r="E35" s="240">
        <f t="shared" si="0"/>
        <v>213532.21</v>
      </c>
      <c r="F35" s="100">
        <v>213532.21</v>
      </c>
      <c r="G35" s="64">
        <v>251917.7</v>
      </c>
    </row>
    <row r="36" spans="1:8" x14ac:dyDescent="0.25">
      <c r="A36" s="72" t="s">
        <v>45</v>
      </c>
      <c r="B36" s="52">
        <v>50102990</v>
      </c>
      <c r="C36" s="14">
        <f>C29</f>
        <v>0</v>
      </c>
      <c r="D36" s="14"/>
      <c r="E36" s="240">
        <f t="shared" si="0"/>
        <v>42000</v>
      </c>
      <c r="F36" s="100">
        <v>42000</v>
      </c>
      <c r="G36" s="64">
        <v>45000</v>
      </c>
    </row>
    <row r="37" spans="1:8" x14ac:dyDescent="0.25">
      <c r="A37" s="72" t="s">
        <v>66</v>
      </c>
      <c r="B37" s="52">
        <v>50102050</v>
      </c>
      <c r="C37" s="603">
        <v>223036.25</v>
      </c>
      <c r="D37" s="603">
        <v>181105</v>
      </c>
      <c r="E37" s="240">
        <f t="shared" si="0"/>
        <v>353472.25</v>
      </c>
      <c r="F37" s="603">
        <v>534577.25</v>
      </c>
      <c r="G37" s="603">
        <v>535044</v>
      </c>
    </row>
    <row r="38" spans="1:8" x14ac:dyDescent="0.25">
      <c r="A38" s="72" t="s">
        <v>99</v>
      </c>
      <c r="B38" s="52">
        <v>50102110</v>
      </c>
      <c r="C38" s="603"/>
      <c r="D38" s="603"/>
      <c r="E38" s="240">
        <f t="shared" si="0"/>
        <v>0</v>
      </c>
      <c r="F38" s="603"/>
      <c r="G38" s="603"/>
    </row>
    <row r="39" spans="1:8" x14ac:dyDescent="0.25">
      <c r="A39" s="72" t="s">
        <v>192</v>
      </c>
      <c r="B39" s="52"/>
      <c r="C39" s="226"/>
      <c r="D39" s="240"/>
      <c r="E39" s="240">
        <f t="shared" si="0"/>
        <v>200000</v>
      </c>
      <c r="F39" s="240">
        <v>200000</v>
      </c>
      <c r="G39" s="76">
        <f>[7]lbp_4!$O$968</f>
        <v>200000</v>
      </c>
    </row>
    <row r="40" spans="1:8" x14ac:dyDescent="0.25">
      <c r="A40" s="27" t="s">
        <v>58</v>
      </c>
      <c r="B40" s="26"/>
      <c r="C40" s="63">
        <f>SUM(C18:C38)</f>
        <v>2154508.61</v>
      </c>
      <c r="D40" s="27">
        <f>SUM(D18:D39)</f>
        <v>2456374.1</v>
      </c>
      <c r="E40" s="27">
        <f>SUM(E18:E39)</f>
        <v>2273521.04</v>
      </c>
      <c r="F40" s="27">
        <f>SUM(F18:F39)</f>
        <v>4729895.1400000006</v>
      </c>
      <c r="G40" s="27">
        <f>SUM(G17:G39)</f>
        <v>5672050.0599999996</v>
      </c>
      <c r="H40" s="35"/>
    </row>
    <row r="41" spans="1:8" x14ac:dyDescent="0.25">
      <c r="A41" s="24" t="s">
        <v>14</v>
      </c>
      <c r="B41" s="23"/>
      <c r="C41" s="23"/>
      <c r="D41" s="23"/>
      <c r="E41" s="23"/>
      <c r="F41" s="23"/>
      <c r="G41" s="23"/>
    </row>
    <row r="42" spans="1:8" x14ac:dyDescent="0.25">
      <c r="A42" s="54" t="s">
        <v>17</v>
      </c>
      <c r="B42" s="29">
        <v>50203010</v>
      </c>
      <c r="C42" s="9">
        <v>11515.6</v>
      </c>
      <c r="D42" s="9"/>
      <c r="E42" s="64">
        <f>F42-D42</f>
        <v>53517.93</v>
      </c>
      <c r="F42" s="64">
        <v>53517.93</v>
      </c>
      <c r="G42" s="9">
        <v>67000</v>
      </c>
    </row>
    <row r="43" spans="1:8" x14ac:dyDescent="0.25">
      <c r="A43" s="54" t="s">
        <v>158</v>
      </c>
      <c r="B43" s="29">
        <v>50201010</v>
      </c>
      <c r="C43" s="9">
        <v>99263</v>
      </c>
      <c r="D43" s="64">
        <v>161764</v>
      </c>
      <c r="E43" s="64">
        <f>F43-D43</f>
        <v>153930.5</v>
      </c>
      <c r="F43" s="64">
        <v>315694.5</v>
      </c>
      <c r="G43" s="9">
        <v>299800</v>
      </c>
    </row>
    <row r="44" spans="1:8" x14ac:dyDescent="0.25">
      <c r="A44" s="54" t="s">
        <v>27</v>
      </c>
      <c r="B44" s="31">
        <v>50202010</v>
      </c>
      <c r="C44" s="9">
        <v>15770</v>
      </c>
      <c r="D44" s="64">
        <v>8720</v>
      </c>
      <c r="E44" s="64">
        <f>F44-D44</f>
        <v>41120</v>
      </c>
      <c r="F44" s="64">
        <v>49840</v>
      </c>
      <c r="G44" s="9">
        <v>50000</v>
      </c>
    </row>
    <row r="45" spans="1:8" x14ac:dyDescent="0.25">
      <c r="A45" s="54" t="s">
        <v>29</v>
      </c>
      <c r="B45" s="31">
        <v>50205020</v>
      </c>
      <c r="C45" s="14"/>
      <c r="D45" s="9"/>
      <c r="E45" s="64"/>
      <c r="F45" s="64"/>
      <c r="G45" s="9">
        <v>18000</v>
      </c>
    </row>
    <row r="46" spans="1:8" x14ac:dyDescent="0.25">
      <c r="A46" s="54" t="s">
        <v>163</v>
      </c>
      <c r="B46" s="31">
        <v>5021990</v>
      </c>
      <c r="C46" s="9">
        <v>176770</v>
      </c>
      <c r="D46" s="9"/>
      <c r="E46" s="64">
        <f>F46-D46</f>
        <v>99761.51</v>
      </c>
      <c r="F46" s="64">
        <v>99761.51</v>
      </c>
      <c r="G46" s="9">
        <v>100000</v>
      </c>
    </row>
    <row r="47" spans="1:8" x14ac:dyDescent="0.25">
      <c r="A47" s="54" t="s">
        <v>31</v>
      </c>
      <c r="B47" s="31">
        <v>50213990</v>
      </c>
      <c r="C47" s="9">
        <v>10400.01</v>
      </c>
      <c r="D47" s="64">
        <v>7000</v>
      </c>
      <c r="E47" s="64">
        <f>F47-D47</f>
        <v>13706.89</v>
      </c>
      <c r="F47" s="64">
        <v>20706.89</v>
      </c>
      <c r="G47" s="9">
        <v>20000</v>
      </c>
    </row>
    <row r="48" spans="1:8" x14ac:dyDescent="0.25">
      <c r="A48" s="54" t="s">
        <v>160</v>
      </c>
      <c r="B48" s="31"/>
      <c r="C48" s="14"/>
      <c r="D48" s="9"/>
      <c r="E48" s="64"/>
      <c r="F48" s="64"/>
      <c r="G48" s="9"/>
    </row>
    <row r="49" spans="1:8" x14ac:dyDescent="0.25">
      <c r="A49" s="54" t="s">
        <v>164</v>
      </c>
      <c r="B49" s="38">
        <v>50203090</v>
      </c>
      <c r="C49" s="14"/>
      <c r="D49" s="9"/>
      <c r="E49" s="64"/>
      <c r="F49" s="64"/>
      <c r="G49" s="9"/>
    </row>
    <row r="50" spans="1:8" x14ac:dyDescent="0.25">
      <c r="A50" s="22" t="s">
        <v>34</v>
      </c>
      <c r="B50" s="29">
        <v>50203070</v>
      </c>
      <c r="C50" s="14"/>
      <c r="D50" s="64">
        <v>108500</v>
      </c>
      <c r="E50" s="64">
        <f t="shared" ref="E50:E55" si="1">F50-D50</f>
        <v>91240</v>
      </c>
      <c r="F50" s="64">
        <v>199740</v>
      </c>
      <c r="G50" s="191"/>
    </row>
    <row r="51" spans="1:8" x14ac:dyDescent="0.25">
      <c r="A51" s="72" t="s">
        <v>59</v>
      </c>
      <c r="B51" s="29">
        <v>50104990</v>
      </c>
      <c r="C51" s="9">
        <v>13000</v>
      </c>
      <c r="D51" s="9"/>
      <c r="E51" s="64">
        <f t="shared" si="1"/>
        <v>15500</v>
      </c>
      <c r="F51" s="64">
        <v>15500</v>
      </c>
      <c r="G51" s="49">
        <v>30000</v>
      </c>
    </row>
    <row r="52" spans="1:8" x14ac:dyDescent="0.25">
      <c r="A52" s="189" t="s">
        <v>190</v>
      </c>
      <c r="B52" s="29">
        <v>50211990</v>
      </c>
      <c r="C52" s="9">
        <v>88940</v>
      </c>
      <c r="D52" s="64">
        <v>321450</v>
      </c>
      <c r="E52" s="64">
        <f t="shared" si="1"/>
        <v>505530</v>
      </c>
      <c r="F52" s="64">
        <v>826980</v>
      </c>
      <c r="G52" s="192"/>
    </row>
    <row r="53" spans="1:8" x14ac:dyDescent="0.25">
      <c r="A53" s="22" t="s">
        <v>191</v>
      </c>
      <c r="B53" s="29">
        <v>50299990</v>
      </c>
      <c r="C53" s="9">
        <v>85900</v>
      </c>
      <c r="D53" s="64">
        <v>63830</v>
      </c>
      <c r="E53" s="64">
        <f t="shared" si="1"/>
        <v>85070</v>
      </c>
      <c r="F53" s="64">
        <v>148900</v>
      </c>
      <c r="G53" s="191"/>
    </row>
    <row r="54" spans="1:8" x14ac:dyDescent="0.25">
      <c r="A54" s="22" t="s">
        <v>193</v>
      </c>
      <c r="B54" s="29"/>
      <c r="C54" s="14"/>
      <c r="D54" s="64">
        <v>40320</v>
      </c>
      <c r="E54" s="64">
        <f t="shared" si="1"/>
        <v>150960</v>
      </c>
      <c r="F54" s="64">
        <v>191280</v>
      </c>
      <c r="G54" s="191"/>
    </row>
    <row r="55" spans="1:8" x14ac:dyDescent="0.25">
      <c r="A55" s="22" t="s">
        <v>194</v>
      </c>
      <c r="B55" s="29"/>
      <c r="C55" s="14"/>
      <c r="D55" s="64">
        <v>37950</v>
      </c>
      <c r="E55" s="64">
        <f t="shared" si="1"/>
        <v>25910</v>
      </c>
      <c r="F55" s="64">
        <v>63860</v>
      </c>
      <c r="G55" s="191"/>
    </row>
    <row r="56" spans="1:8" x14ac:dyDescent="0.25">
      <c r="A56" s="22" t="s">
        <v>195</v>
      </c>
      <c r="B56" s="29"/>
      <c r="C56" s="14"/>
      <c r="D56" s="9"/>
      <c r="E56" s="64"/>
      <c r="F56" s="64"/>
      <c r="G56" s="49">
        <v>100000</v>
      </c>
      <c r="H56" s="35"/>
    </row>
    <row r="57" spans="1:8" x14ac:dyDescent="0.25">
      <c r="A57" s="22" t="s">
        <v>236</v>
      </c>
      <c r="B57" s="29"/>
      <c r="C57" s="14"/>
      <c r="D57" s="64">
        <v>34001.51</v>
      </c>
      <c r="E57" s="64"/>
      <c r="F57" s="64"/>
      <c r="G57" s="49"/>
    </row>
    <row r="58" spans="1:8" x14ac:dyDescent="0.25">
      <c r="A58" s="48" t="s">
        <v>24</v>
      </c>
      <c r="B58" s="26"/>
      <c r="C58" s="27">
        <f>SUM(C42:C53)</f>
        <v>501558.61</v>
      </c>
      <c r="D58" s="27">
        <f>SUM(D43:D57)</f>
        <v>783535.51</v>
      </c>
      <c r="E58" s="27">
        <f>SUM(E42:E57)</f>
        <v>1236246.83</v>
      </c>
      <c r="F58" s="27">
        <f>SUM(F42:F57)</f>
        <v>1985780.83</v>
      </c>
      <c r="G58" s="27">
        <f>SUM(G42:G57)</f>
        <v>684800</v>
      </c>
    </row>
    <row r="59" spans="1:8" x14ac:dyDescent="0.25">
      <c r="A59" s="48" t="s">
        <v>95</v>
      </c>
      <c r="B59" s="26"/>
      <c r="C59" s="27"/>
      <c r="D59" s="27"/>
      <c r="E59" s="27"/>
      <c r="F59" s="27"/>
      <c r="G59" s="27">
        <v>182000</v>
      </c>
    </row>
    <row r="60" spans="1:8" x14ac:dyDescent="0.25">
      <c r="A60" s="69" t="s">
        <v>61</v>
      </c>
      <c r="B60" s="26"/>
      <c r="C60" s="28">
        <f>C40+C58</f>
        <v>2656067.2199999997</v>
      </c>
      <c r="D60" s="28">
        <f>SUM(D58)</f>
        <v>783535.51</v>
      </c>
      <c r="E60" s="28"/>
      <c r="F60" s="28">
        <f>F40+F58</f>
        <v>6715675.9700000007</v>
      </c>
      <c r="G60" s="28">
        <f>G40+G58</f>
        <v>6356850.0599999996</v>
      </c>
      <c r="H60" s="35"/>
    </row>
    <row r="61" spans="1:8" ht="9.75" customHeight="1" x14ac:dyDescent="0.25"/>
    <row r="62" spans="1:8" ht="29.25" customHeight="1" x14ac:dyDescent="0.35">
      <c r="A62" s="152" t="s">
        <v>68</v>
      </c>
      <c r="B62" s="154" t="s">
        <v>69</v>
      </c>
      <c r="C62" s="154"/>
      <c r="D62" s="154"/>
      <c r="E62" s="154" t="s">
        <v>310</v>
      </c>
      <c r="F62" s="154"/>
      <c r="G62" s="152"/>
    </row>
    <row r="63" spans="1:8" ht="33" customHeight="1" x14ac:dyDescent="0.35">
      <c r="A63" s="152"/>
      <c r="B63" s="154"/>
      <c r="C63" s="154"/>
      <c r="D63" s="154"/>
      <c r="E63" s="154"/>
      <c r="F63" s="154"/>
      <c r="G63" s="152"/>
    </row>
    <row r="64" spans="1:8" ht="21" x14ac:dyDescent="0.35">
      <c r="A64" s="153" t="s">
        <v>189</v>
      </c>
      <c r="B64" s="155" t="s">
        <v>157</v>
      </c>
      <c r="C64" s="154"/>
      <c r="D64" s="154"/>
      <c r="E64" s="180" t="s">
        <v>167</v>
      </c>
      <c r="F64" s="181"/>
      <c r="G64" s="182"/>
    </row>
    <row r="65" spans="1:7" ht="21" x14ac:dyDescent="0.35">
      <c r="A65" s="152" t="s">
        <v>264</v>
      </c>
      <c r="B65" s="154" t="s">
        <v>257</v>
      </c>
      <c r="C65" s="154"/>
      <c r="D65" s="154"/>
      <c r="E65" s="181" t="s">
        <v>63</v>
      </c>
      <c r="F65" s="181"/>
      <c r="G65" s="182"/>
    </row>
    <row r="66" spans="1:7" ht="21" x14ac:dyDescent="0.35">
      <c r="A66" s="152"/>
      <c r="B66" s="152"/>
      <c r="C66" s="152"/>
      <c r="D66" s="152"/>
      <c r="E66" s="152"/>
      <c r="F66" s="152"/>
      <c r="G66" s="152"/>
    </row>
    <row r="67" spans="1:7" ht="21" x14ac:dyDescent="0.35">
      <c r="A67" s="152"/>
      <c r="B67" s="152"/>
      <c r="C67" s="152"/>
      <c r="D67" s="152"/>
      <c r="E67" s="152"/>
      <c r="F67" s="152"/>
      <c r="G67" s="152"/>
    </row>
    <row r="68" spans="1:7" ht="21" x14ac:dyDescent="0.35">
      <c r="A68" s="152"/>
      <c r="B68" s="152"/>
      <c r="C68" s="152"/>
      <c r="D68" s="152"/>
      <c r="E68" s="152"/>
      <c r="F68" s="152"/>
      <c r="G68" s="152"/>
    </row>
  </sheetData>
  <sheetProtection password="CCFC" sheet="1" objects="1" scenarios="1" selectLockedCells="1" selectUnlockedCells="1"/>
  <mergeCells count="9">
    <mergeCell ref="C37:C38"/>
    <mergeCell ref="D37:D38"/>
    <mergeCell ref="F37:F38"/>
    <mergeCell ref="G37:G38"/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I64"/>
  <sheetViews>
    <sheetView topLeftCell="A49" workbookViewId="0">
      <selection activeCell="A67" sqref="A67"/>
    </sheetView>
  </sheetViews>
  <sheetFormatPr defaultRowHeight="15" x14ac:dyDescent="0.25"/>
  <cols>
    <col min="1" max="1" width="46.140625" style="4" customWidth="1"/>
    <col min="2" max="2" width="10.140625" style="4" customWidth="1"/>
    <col min="3" max="3" width="16.42578125" style="4" customWidth="1"/>
    <col min="4" max="4" width="13.28515625" style="4" bestFit="1" customWidth="1"/>
    <col min="5" max="5" width="13.28515625" style="4" customWidth="1"/>
    <col min="6" max="6" width="13" style="4" customWidth="1"/>
    <col min="7" max="7" width="13.28515625" style="4" bestFit="1" customWidth="1"/>
    <col min="8" max="8" width="9.140625" style="4"/>
    <col min="9" max="9" width="13.28515625" style="4" bestFit="1" customWidth="1"/>
    <col min="10" max="16384" width="9.140625" style="4"/>
  </cols>
  <sheetData>
    <row r="1" spans="1:7" x14ac:dyDescent="0.25">
      <c r="A1" s="4" t="s">
        <v>9</v>
      </c>
      <c r="G1" t="s">
        <v>96</v>
      </c>
    </row>
    <row r="3" spans="1:7" ht="21" x14ac:dyDescent="0.35">
      <c r="A3" s="582" t="s">
        <v>10</v>
      </c>
      <c r="B3" s="582"/>
      <c r="C3" s="582"/>
      <c r="D3" s="582"/>
      <c r="E3" s="582"/>
      <c r="F3" s="582"/>
      <c r="G3" s="582"/>
    </row>
    <row r="4" spans="1:7" ht="21" x14ac:dyDescent="0.35">
      <c r="A4" s="582" t="s">
        <v>127</v>
      </c>
      <c r="B4" s="582"/>
      <c r="C4" s="582"/>
      <c r="D4" s="582"/>
      <c r="E4" s="582"/>
      <c r="F4" s="582"/>
      <c r="G4" s="582"/>
    </row>
    <row r="5" spans="1:7" ht="21" x14ac:dyDescent="0.35">
      <c r="A5" s="155"/>
      <c r="B5" s="154"/>
      <c r="C5" s="154"/>
      <c r="D5" s="154"/>
      <c r="E5" s="154"/>
      <c r="F5" s="154"/>
      <c r="G5" s="154"/>
    </row>
    <row r="6" spans="1:7" ht="21" x14ac:dyDescent="0.35">
      <c r="A6" s="155" t="s">
        <v>81</v>
      </c>
      <c r="B6" s="154"/>
      <c r="C6" s="154"/>
      <c r="D6" s="154"/>
      <c r="E6" s="154"/>
      <c r="F6" s="154"/>
      <c r="G6" s="154"/>
    </row>
    <row r="7" spans="1:7" ht="21" x14ac:dyDescent="0.35">
      <c r="A7" s="154" t="s">
        <v>196</v>
      </c>
      <c r="B7" s="154"/>
      <c r="C7" s="154"/>
      <c r="D7" s="154"/>
      <c r="E7" s="154"/>
      <c r="F7" s="154"/>
      <c r="G7" s="154"/>
    </row>
    <row r="8" spans="1:7" ht="21" x14ac:dyDescent="0.35">
      <c r="A8" s="154" t="s">
        <v>73</v>
      </c>
      <c r="B8" s="154"/>
      <c r="C8" s="154"/>
      <c r="D8" s="154"/>
      <c r="E8" s="154"/>
      <c r="F8" s="154"/>
      <c r="G8" s="154"/>
    </row>
    <row r="9" spans="1:7" ht="21" x14ac:dyDescent="0.35">
      <c r="A9" s="154"/>
      <c r="B9" s="154"/>
      <c r="C9" s="154"/>
      <c r="D9" s="154"/>
      <c r="E9" s="154"/>
      <c r="F9" s="154"/>
      <c r="G9" s="154"/>
    </row>
    <row r="10" spans="1:7" x14ac:dyDescent="0.25">
      <c r="A10" s="579" t="s">
        <v>0</v>
      </c>
      <c r="B10" s="577" t="s">
        <v>1</v>
      </c>
      <c r="C10" s="2" t="s">
        <v>2</v>
      </c>
      <c r="D10" s="579" t="s">
        <v>8</v>
      </c>
      <c r="E10" s="580"/>
      <c r="F10" s="581"/>
      <c r="G10" s="2" t="s">
        <v>3</v>
      </c>
    </row>
    <row r="11" spans="1:7" ht="63" customHeight="1" x14ac:dyDescent="0.25">
      <c r="A11" s="593"/>
      <c r="B11" s="578"/>
      <c r="C11" s="3" t="s">
        <v>4</v>
      </c>
      <c r="D11" s="163" t="s">
        <v>117</v>
      </c>
      <c r="E11" s="163" t="s">
        <v>108</v>
      </c>
      <c r="F11" s="2" t="s">
        <v>5</v>
      </c>
      <c r="G11" s="3" t="s">
        <v>6</v>
      </c>
    </row>
    <row r="12" spans="1:7" x14ac:dyDescent="0.25">
      <c r="A12" s="84"/>
      <c r="B12" s="3"/>
      <c r="C12" s="3">
        <v>2016</v>
      </c>
      <c r="D12" s="3" t="s">
        <v>4</v>
      </c>
      <c r="E12" s="3" t="s">
        <v>7</v>
      </c>
      <c r="F12" s="3"/>
      <c r="G12" s="3"/>
    </row>
    <row r="13" spans="1:7" x14ac:dyDescent="0.25">
      <c r="A13" s="84"/>
      <c r="B13" s="3"/>
      <c r="C13" s="3"/>
      <c r="D13" s="3">
        <v>2017</v>
      </c>
      <c r="E13" s="3">
        <v>2017</v>
      </c>
      <c r="F13" s="3"/>
      <c r="G13" s="3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ht="4.5" customHeight="1" x14ac:dyDescent="0.25">
      <c r="A15" s="83"/>
      <c r="B15" s="2"/>
      <c r="C15" s="2"/>
      <c r="D15" s="2"/>
      <c r="E15" s="2"/>
      <c r="F15" s="2"/>
      <c r="G15" s="2"/>
    </row>
    <row r="16" spans="1:7" x14ac:dyDescent="0.25">
      <c r="A16" s="6" t="s">
        <v>11</v>
      </c>
      <c r="B16" s="3"/>
      <c r="C16" s="3"/>
      <c r="D16" s="3"/>
      <c r="E16" s="3"/>
      <c r="F16" s="3"/>
      <c r="G16" s="3"/>
    </row>
    <row r="17" spans="1:7" hidden="1" x14ac:dyDescent="0.25">
      <c r="A17" s="54" t="s">
        <v>57</v>
      </c>
      <c r="B17" s="3"/>
      <c r="C17" s="3"/>
      <c r="D17" s="3"/>
      <c r="E17" s="3"/>
      <c r="F17" s="3"/>
      <c r="G17" s="3"/>
    </row>
    <row r="18" spans="1:7" x14ac:dyDescent="0.25">
      <c r="A18" s="54" t="s">
        <v>56</v>
      </c>
      <c r="B18" s="38">
        <v>50101010</v>
      </c>
      <c r="C18" s="57">
        <v>643340</v>
      </c>
      <c r="D18" s="57">
        <v>248806</v>
      </c>
      <c r="E18" s="60">
        <f>F18-D18</f>
        <v>34746</v>
      </c>
      <c r="F18" s="57">
        <v>283552</v>
      </c>
      <c r="G18" s="60">
        <v>816324</v>
      </c>
    </row>
    <row r="19" spans="1:7" ht="15" hidden="1" customHeight="1" x14ac:dyDescent="0.25">
      <c r="A19" s="54" t="s">
        <v>56</v>
      </c>
      <c r="B19" s="52">
        <v>50101</v>
      </c>
      <c r="C19" s="74"/>
      <c r="D19" s="57"/>
      <c r="E19" s="60">
        <f t="shared" ref="E19:E36" si="0">F19-D19</f>
        <v>0</v>
      </c>
      <c r="F19" s="57"/>
      <c r="G19" s="61"/>
    </row>
    <row r="20" spans="1:7" ht="15" hidden="1" customHeight="1" x14ac:dyDescent="0.25">
      <c r="A20" s="54" t="s">
        <v>56</v>
      </c>
      <c r="B20" s="3"/>
      <c r="C20" s="74"/>
      <c r="D20" s="57"/>
      <c r="E20" s="60">
        <f t="shared" si="0"/>
        <v>0</v>
      </c>
      <c r="F20" s="57"/>
      <c r="G20" s="61"/>
    </row>
    <row r="21" spans="1:7" ht="15" hidden="1" customHeight="1" x14ac:dyDescent="0.25">
      <c r="A21" s="54" t="s">
        <v>56</v>
      </c>
      <c r="B21" s="3"/>
      <c r="C21" s="74"/>
      <c r="D21" s="57"/>
      <c r="E21" s="60">
        <f t="shared" si="0"/>
        <v>0</v>
      </c>
      <c r="F21" s="57"/>
      <c r="G21" s="61"/>
    </row>
    <row r="22" spans="1:7" x14ac:dyDescent="0.25">
      <c r="A22" s="54" t="s">
        <v>98</v>
      </c>
      <c r="B22" s="3"/>
      <c r="C22" s="74"/>
      <c r="D22" s="57">
        <v>47310</v>
      </c>
      <c r="E22" s="60">
        <f t="shared" si="0"/>
        <v>0</v>
      </c>
      <c r="F22" s="57">
        <v>47310</v>
      </c>
      <c r="G22" s="74">
        <v>50000</v>
      </c>
    </row>
    <row r="23" spans="1:7" x14ac:dyDescent="0.25">
      <c r="A23" s="72" t="s">
        <v>52</v>
      </c>
      <c r="B23" s="52">
        <v>50102010</v>
      </c>
      <c r="C23" s="57">
        <v>51000</v>
      </c>
      <c r="D23" s="57">
        <v>25500</v>
      </c>
      <c r="E23" s="60">
        <f t="shared" si="0"/>
        <v>4000</v>
      </c>
      <c r="F23" s="57">
        <v>29500</v>
      </c>
      <c r="G23" s="60">
        <v>48000</v>
      </c>
    </row>
    <row r="24" spans="1:7" x14ac:dyDescent="0.25">
      <c r="A24" s="72" t="s">
        <v>51</v>
      </c>
      <c r="B24" s="52">
        <v>50102020</v>
      </c>
      <c r="C24" s="57">
        <v>67500</v>
      </c>
      <c r="D24" s="57"/>
      <c r="E24" s="60">
        <f t="shared" si="0"/>
        <v>67500</v>
      </c>
      <c r="F24" s="57">
        <v>67500</v>
      </c>
      <c r="G24" s="57">
        <v>67500</v>
      </c>
    </row>
    <row r="25" spans="1:7" x14ac:dyDescent="0.25">
      <c r="A25" s="72" t="s">
        <v>48</v>
      </c>
      <c r="B25" s="52">
        <v>50102030</v>
      </c>
      <c r="C25" s="57">
        <v>67500</v>
      </c>
      <c r="D25" s="57"/>
      <c r="E25" s="60">
        <f t="shared" si="0"/>
        <v>67500</v>
      </c>
      <c r="F25" s="57">
        <v>67500</v>
      </c>
      <c r="G25" s="57">
        <v>67500</v>
      </c>
    </row>
    <row r="26" spans="1:7" x14ac:dyDescent="0.25">
      <c r="A26" s="72" t="s">
        <v>49</v>
      </c>
      <c r="B26" s="52">
        <v>50102040</v>
      </c>
      <c r="C26" s="57">
        <v>10000</v>
      </c>
      <c r="D26" s="57"/>
      <c r="E26" s="60">
        <f t="shared" si="0"/>
        <v>10000</v>
      </c>
      <c r="F26" s="57">
        <v>10000</v>
      </c>
      <c r="G26" s="60">
        <v>10000</v>
      </c>
    </row>
    <row r="27" spans="1:7" ht="15" hidden="1" customHeight="1" x14ac:dyDescent="0.25">
      <c r="A27" s="72" t="s">
        <v>50</v>
      </c>
      <c r="B27" s="52">
        <v>50102080</v>
      </c>
      <c r="C27" s="74"/>
      <c r="D27" s="57"/>
      <c r="E27" s="60">
        <f t="shared" si="0"/>
        <v>0</v>
      </c>
      <c r="F27" s="57"/>
      <c r="G27" s="61"/>
    </row>
    <row r="28" spans="1:7" x14ac:dyDescent="0.25">
      <c r="A28" s="72" t="s">
        <v>47</v>
      </c>
      <c r="B28" s="52">
        <v>50102150</v>
      </c>
      <c r="C28" s="57">
        <v>10000</v>
      </c>
      <c r="D28" s="57"/>
      <c r="E28" s="60">
        <f t="shared" si="0"/>
        <v>7500</v>
      </c>
      <c r="F28" s="57">
        <v>7500</v>
      </c>
      <c r="G28" s="60">
        <v>10000</v>
      </c>
    </row>
    <row r="29" spans="1:7" x14ac:dyDescent="0.25">
      <c r="A29" s="72" t="s">
        <v>46</v>
      </c>
      <c r="B29" s="52">
        <v>50102140</v>
      </c>
      <c r="C29" s="57">
        <v>58695</v>
      </c>
      <c r="D29" s="57"/>
      <c r="E29" s="60">
        <f t="shared" si="0"/>
        <v>35868</v>
      </c>
      <c r="F29" s="57">
        <v>35868</v>
      </c>
      <c r="G29" s="60">
        <v>68027</v>
      </c>
    </row>
    <row r="30" spans="1:7" x14ac:dyDescent="0.25">
      <c r="A30" s="72" t="s">
        <v>39</v>
      </c>
      <c r="B30" s="52">
        <v>50102990</v>
      </c>
      <c r="C30" s="60">
        <v>58695</v>
      </c>
      <c r="D30" s="57"/>
      <c r="E30" s="60">
        <f t="shared" si="0"/>
        <v>11048</v>
      </c>
      <c r="F30" s="57">
        <v>11048</v>
      </c>
      <c r="G30" s="60">
        <v>136054</v>
      </c>
    </row>
    <row r="31" spans="1:7" x14ac:dyDescent="0.25">
      <c r="A31" s="72" t="s">
        <v>40</v>
      </c>
      <c r="B31" s="52">
        <v>50103010</v>
      </c>
      <c r="C31" s="57">
        <v>77320.800000000003</v>
      </c>
      <c r="D31" s="57">
        <v>24226.799999999999</v>
      </c>
      <c r="E31" s="60">
        <f t="shared" si="0"/>
        <v>4169.5200000000004</v>
      </c>
      <c r="F31" s="57">
        <v>28396.32</v>
      </c>
      <c r="G31" s="60">
        <v>97958.88</v>
      </c>
    </row>
    <row r="32" spans="1:7" x14ac:dyDescent="0.25">
      <c r="A32" s="72" t="s">
        <v>41</v>
      </c>
      <c r="B32" s="52">
        <v>50103020</v>
      </c>
      <c r="C32" s="57">
        <v>2400</v>
      </c>
      <c r="D32" s="57">
        <v>900</v>
      </c>
      <c r="E32" s="60">
        <f t="shared" si="0"/>
        <v>200</v>
      </c>
      <c r="F32" s="57">
        <v>1100</v>
      </c>
      <c r="G32" s="60">
        <v>2400</v>
      </c>
    </row>
    <row r="33" spans="1:7" x14ac:dyDescent="0.25">
      <c r="A33" s="72" t="s">
        <v>42</v>
      </c>
      <c r="B33" s="52">
        <v>50103030</v>
      </c>
      <c r="C33" s="57">
        <v>6750</v>
      </c>
      <c r="D33" s="57">
        <v>3050</v>
      </c>
      <c r="E33" s="60">
        <f t="shared" si="0"/>
        <v>350</v>
      </c>
      <c r="F33" s="57">
        <v>3400</v>
      </c>
      <c r="G33" s="60">
        <v>6750</v>
      </c>
    </row>
    <row r="34" spans="1:7" x14ac:dyDescent="0.25">
      <c r="A34" s="72" t="s">
        <v>43</v>
      </c>
      <c r="B34" s="52">
        <v>50103040</v>
      </c>
      <c r="C34" s="57">
        <v>2400</v>
      </c>
      <c r="D34" s="57">
        <v>200</v>
      </c>
      <c r="E34" s="60">
        <f t="shared" si="0"/>
        <v>200</v>
      </c>
      <c r="F34" s="57">
        <v>400</v>
      </c>
      <c r="G34" s="60">
        <v>8163.24</v>
      </c>
    </row>
    <row r="35" spans="1:7" x14ac:dyDescent="0.25">
      <c r="A35" s="72" t="s">
        <v>44</v>
      </c>
      <c r="B35" s="61">
        <v>50104990</v>
      </c>
      <c r="C35" s="57">
        <v>122537.59</v>
      </c>
      <c r="D35" s="74"/>
      <c r="E35" s="60">
        <f t="shared" si="0"/>
        <v>57850.52</v>
      </c>
      <c r="F35" s="57">
        <v>57850.52</v>
      </c>
      <c r="G35" s="60">
        <v>65568.100000000006</v>
      </c>
    </row>
    <row r="36" spans="1:7" x14ac:dyDescent="0.25">
      <c r="A36" s="72" t="s">
        <v>45</v>
      </c>
      <c r="B36" s="52">
        <v>50102990</v>
      </c>
      <c r="C36" s="75">
        <v>10000</v>
      </c>
      <c r="D36" s="75"/>
      <c r="E36" s="60">
        <f t="shared" si="0"/>
        <v>5000</v>
      </c>
      <c r="F36" s="75">
        <v>5000</v>
      </c>
      <c r="G36" s="59">
        <v>10000</v>
      </c>
    </row>
    <row r="37" spans="1:7" x14ac:dyDescent="0.25">
      <c r="A37" s="72" t="s">
        <v>66</v>
      </c>
      <c r="B37" s="52">
        <v>50102050</v>
      </c>
      <c r="C37" s="603">
        <v>108967.34</v>
      </c>
      <c r="D37" s="603"/>
      <c r="E37" s="603"/>
      <c r="F37" s="603"/>
      <c r="G37" s="603">
        <v>120000</v>
      </c>
    </row>
    <row r="38" spans="1:7" x14ac:dyDescent="0.25">
      <c r="A38" s="72" t="s">
        <v>99</v>
      </c>
      <c r="B38" s="52">
        <v>50102110</v>
      </c>
      <c r="C38" s="603"/>
      <c r="D38" s="603"/>
      <c r="E38" s="603"/>
      <c r="F38" s="603"/>
      <c r="G38" s="603"/>
    </row>
    <row r="39" spans="1:7" x14ac:dyDescent="0.25">
      <c r="A39" s="27" t="s">
        <v>58</v>
      </c>
      <c r="B39" s="11"/>
      <c r="C39" s="12">
        <f>SUM(C17:C38)</f>
        <v>1297105.7300000002</v>
      </c>
      <c r="D39" s="12">
        <f>SUM(D17:D38)</f>
        <v>349992.8</v>
      </c>
      <c r="E39" s="12">
        <f>SUM(E17:E38)</f>
        <v>305932.03999999998</v>
      </c>
      <c r="F39" s="12">
        <f>SUM(F17:F38)</f>
        <v>655924.84</v>
      </c>
      <c r="G39" s="12">
        <f>SUM(G17:G38)</f>
        <v>1584245.22</v>
      </c>
    </row>
    <row r="40" spans="1:7" x14ac:dyDescent="0.25">
      <c r="A40" s="8" t="s">
        <v>14</v>
      </c>
      <c r="B40" s="5"/>
      <c r="C40" s="5"/>
      <c r="D40" s="5"/>
      <c r="E40" s="5"/>
      <c r="F40" s="5"/>
      <c r="G40" s="5"/>
    </row>
    <row r="41" spans="1:7" x14ac:dyDescent="0.25">
      <c r="A41" s="54" t="s">
        <v>17</v>
      </c>
      <c r="B41" s="29">
        <v>50203010</v>
      </c>
      <c r="C41" s="70">
        <v>18857.97</v>
      </c>
      <c r="D41" s="40">
        <v>11075.34</v>
      </c>
      <c r="E41" s="59">
        <f>F41-D41</f>
        <v>8819.0099999999984</v>
      </c>
      <c r="F41" s="59">
        <v>19894.349999999999</v>
      </c>
      <c r="G41" s="30">
        <v>20000</v>
      </c>
    </row>
    <row r="42" spans="1:7" x14ac:dyDescent="0.25">
      <c r="A42" s="54" t="s">
        <v>311</v>
      </c>
      <c r="B42" s="29">
        <v>50201010</v>
      </c>
      <c r="C42" s="70">
        <v>75872</v>
      </c>
      <c r="D42" s="40">
        <v>28415</v>
      </c>
      <c r="E42" s="59">
        <f>F42-D42</f>
        <v>41150</v>
      </c>
      <c r="F42" s="59">
        <v>69565</v>
      </c>
      <c r="G42" s="30">
        <v>60000</v>
      </c>
    </row>
    <row r="43" spans="1:7" x14ac:dyDescent="0.25">
      <c r="A43" s="54" t="s">
        <v>27</v>
      </c>
      <c r="B43" s="31">
        <v>50202010</v>
      </c>
      <c r="C43" s="70">
        <v>6960</v>
      </c>
      <c r="D43" s="40"/>
      <c r="E43" s="59">
        <f>F43-D43</f>
        <v>17770</v>
      </c>
      <c r="F43" s="59">
        <v>17770</v>
      </c>
      <c r="G43" s="30">
        <v>32000</v>
      </c>
    </row>
    <row r="44" spans="1:7" x14ac:dyDescent="0.25">
      <c r="A44" s="54" t="s">
        <v>29</v>
      </c>
      <c r="B44" s="31">
        <v>50205020</v>
      </c>
      <c r="C44" s="70"/>
      <c r="D44" s="40"/>
      <c r="E44" s="59"/>
      <c r="F44" s="59"/>
      <c r="G44" s="30">
        <v>18000</v>
      </c>
    </row>
    <row r="45" spans="1:7" x14ac:dyDescent="0.25">
      <c r="A45" s="54" t="s">
        <v>163</v>
      </c>
      <c r="B45" s="31">
        <v>5021990</v>
      </c>
      <c r="C45" s="70">
        <v>126544</v>
      </c>
      <c r="D45" s="40"/>
      <c r="E45" s="59"/>
      <c r="F45" s="59"/>
      <c r="G45" s="30">
        <v>0</v>
      </c>
    </row>
    <row r="46" spans="1:7" x14ac:dyDescent="0.25">
      <c r="A46" s="54" t="s">
        <v>31</v>
      </c>
      <c r="B46" s="31">
        <v>50213990</v>
      </c>
      <c r="C46" s="70">
        <v>3340</v>
      </c>
      <c r="D46" s="40">
        <v>3762.34</v>
      </c>
      <c r="E46" s="59">
        <f>F46-D46</f>
        <v>10683.5</v>
      </c>
      <c r="F46" s="59">
        <v>14445.84</v>
      </c>
      <c r="G46" s="30">
        <v>15000</v>
      </c>
    </row>
    <row r="47" spans="1:7" x14ac:dyDescent="0.25">
      <c r="A47" s="54" t="s">
        <v>160</v>
      </c>
      <c r="B47" s="31"/>
      <c r="C47" s="70">
        <v>10000</v>
      </c>
      <c r="D47" s="40"/>
      <c r="E47" s="59"/>
      <c r="F47" s="59"/>
      <c r="G47" s="30">
        <v>10000</v>
      </c>
    </row>
    <row r="48" spans="1:7" x14ac:dyDescent="0.25">
      <c r="A48" s="54" t="s">
        <v>164</v>
      </c>
      <c r="B48" s="38">
        <v>50203090</v>
      </c>
      <c r="C48" s="70"/>
      <c r="D48" s="40"/>
      <c r="E48" s="59"/>
      <c r="F48" s="59"/>
      <c r="G48" s="30"/>
    </row>
    <row r="49" spans="1:9" x14ac:dyDescent="0.25">
      <c r="A49" s="7" t="s">
        <v>197</v>
      </c>
      <c r="B49" s="38">
        <v>50299990</v>
      </c>
      <c r="C49" s="70">
        <v>135398.69</v>
      </c>
      <c r="D49" s="40"/>
      <c r="E49" s="59"/>
      <c r="F49" s="59"/>
      <c r="G49" s="30"/>
    </row>
    <row r="50" spans="1:9" hidden="1" x14ac:dyDescent="0.25">
      <c r="A50" s="7"/>
      <c r="B50" s="41"/>
      <c r="C50" s="73"/>
      <c r="D50" s="42"/>
      <c r="E50" s="59"/>
      <c r="F50" s="59"/>
      <c r="G50" s="15"/>
    </row>
    <row r="51" spans="1:9" x14ac:dyDescent="0.25">
      <c r="A51" s="54" t="s">
        <v>235</v>
      </c>
      <c r="B51" s="38"/>
      <c r="C51" s="70"/>
      <c r="D51" s="40">
        <v>23680</v>
      </c>
      <c r="E51" s="59">
        <f>F51-D51</f>
        <v>72230</v>
      </c>
      <c r="F51" s="59">
        <v>95910</v>
      </c>
      <c r="G51" s="30"/>
    </row>
    <row r="52" spans="1:9" x14ac:dyDescent="0.25">
      <c r="A52" s="7"/>
      <c r="B52" s="41"/>
      <c r="C52" s="73"/>
      <c r="E52" s="59"/>
      <c r="F52" s="73"/>
      <c r="G52" s="15"/>
    </row>
    <row r="53" spans="1:9" x14ac:dyDescent="0.25">
      <c r="A53" s="39" t="s">
        <v>24</v>
      </c>
      <c r="B53" s="11"/>
      <c r="C53" s="12">
        <f>SUM(C41:C50)</f>
        <v>376972.66000000003</v>
      </c>
      <c r="D53" s="227">
        <f>SUM(D41:D51)</f>
        <v>66932.679999999993</v>
      </c>
      <c r="E53" s="12">
        <f>SUM(E41:E52)</f>
        <v>150652.51</v>
      </c>
      <c r="F53" s="12">
        <f>SUM(F41:F52)</f>
        <v>217585.19</v>
      </c>
      <c r="G53" s="12">
        <f>SUM(G41:G52)</f>
        <v>155000</v>
      </c>
    </row>
    <row r="54" spans="1:9" x14ac:dyDescent="0.25">
      <c r="A54" s="24" t="s">
        <v>13</v>
      </c>
      <c r="B54" s="23"/>
      <c r="C54" s="23"/>
      <c r="D54" s="23"/>
      <c r="E54" s="23"/>
      <c r="F54" s="23"/>
      <c r="G54" s="23"/>
    </row>
    <row r="55" spans="1:9" x14ac:dyDescent="0.25">
      <c r="A55" s="54" t="s">
        <v>131</v>
      </c>
      <c r="B55" s="5">
        <v>10705990</v>
      </c>
      <c r="C55" s="14">
        <v>14948.85</v>
      </c>
      <c r="D55" s="14"/>
      <c r="E55" s="14"/>
      <c r="F55" s="14"/>
      <c r="G55" s="14"/>
    </row>
    <row r="56" spans="1:9" x14ac:dyDescent="0.25">
      <c r="A56" s="12" t="s">
        <v>60</v>
      </c>
      <c r="B56" s="27"/>
      <c r="C56" s="27">
        <f>SUM(C55:C55)</f>
        <v>14948.85</v>
      </c>
      <c r="D56" s="27"/>
      <c r="E56" s="27"/>
      <c r="F56" s="27"/>
      <c r="G56" s="27"/>
    </row>
    <row r="57" spans="1:9" x14ac:dyDescent="0.25">
      <c r="A57" s="69" t="s">
        <v>61</v>
      </c>
      <c r="B57" s="11"/>
      <c r="C57" s="68">
        <f>C39+C53+C56</f>
        <v>1689027.2400000002</v>
      </c>
      <c r="D57" s="68"/>
      <c r="E57" s="68"/>
      <c r="F57" s="68">
        <f>F39+F53</f>
        <v>873510.03</v>
      </c>
      <c r="G57" s="68">
        <f t="shared" ref="G57" si="1">G39+G53+G56</f>
        <v>1739245.22</v>
      </c>
      <c r="I57" s="79"/>
    </row>
    <row r="59" spans="1:9" ht="34.5" customHeight="1" x14ac:dyDescent="0.35">
      <c r="A59" s="154" t="s">
        <v>68</v>
      </c>
      <c r="B59" s="154" t="s">
        <v>69</v>
      </c>
      <c r="C59" s="154"/>
      <c r="D59" s="154"/>
      <c r="E59" s="154" t="s">
        <v>309</v>
      </c>
      <c r="F59" s="154"/>
      <c r="G59" s="154"/>
    </row>
    <row r="60" spans="1:9" ht="40.5" customHeight="1" x14ac:dyDescent="0.35">
      <c r="A60" s="154"/>
      <c r="B60" s="154"/>
      <c r="C60" s="154"/>
      <c r="D60" s="154"/>
      <c r="E60" s="154"/>
      <c r="F60" s="154"/>
      <c r="G60" s="154"/>
    </row>
    <row r="61" spans="1:9" ht="21" x14ac:dyDescent="0.35">
      <c r="A61" s="155" t="s">
        <v>255</v>
      </c>
      <c r="B61" s="155" t="s">
        <v>157</v>
      </c>
      <c r="C61" s="154"/>
      <c r="D61" s="154"/>
      <c r="E61" s="180" t="s">
        <v>167</v>
      </c>
      <c r="F61" s="181"/>
      <c r="G61" s="181"/>
    </row>
    <row r="62" spans="1:9" ht="21" x14ac:dyDescent="0.35">
      <c r="A62" s="154" t="s">
        <v>256</v>
      </c>
      <c r="B62" s="154" t="s">
        <v>265</v>
      </c>
      <c r="C62" s="154"/>
      <c r="D62" s="154"/>
      <c r="E62" s="181" t="s">
        <v>63</v>
      </c>
      <c r="F62" s="181"/>
      <c r="G62" s="181"/>
    </row>
    <row r="63" spans="1:9" ht="21" x14ac:dyDescent="0.35">
      <c r="A63" s="154"/>
      <c r="B63" s="154"/>
      <c r="C63" s="154"/>
      <c r="D63" s="154"/>
      <c r="E63" s="154"/>
      <c r="F63" s="154"/>
      <c r="G63" s="154"/>
    </row>
    <row r="64" spans="1:9" ht="21" x14ac:dyDescent="0.35">
      <c r="A64" s="154"/>
      <c r="B64" s="154"/>
      <c r="C64" s="154"/>
      <c r="D64" s="154"/>
      <c r="E64" s="154"/>
      <c r="F64" s="154"/>
      <c r="G64" s="154"/>
    </row>
  </sheetData>
  <sheetProtection password="CCFC" sheet="1" objects="1" scenarios="1" selectLockedCells="1" selectUnlockedCells="1"/>
  <mergeCells count="10">
    <mergeCell ref="C37:C38"/>
    <mergeCell ref="D37:D38"/>
    <mergeCell ref="E37:E38"/>
    <mergeCell ref="F37:F38"/>
    <mergeCell ref="G37:G38"/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I61"/>
  <sheetViews>
    <sheetView topLeftCell="A37" workbookViewId="0">
      <selection activeCell="A59" sqref="A59"/>
    </sheetView>
  </sheetViews>
  <sheetFormatPr defaultRowHeight="15" x14ac:dyDescent="0.25"/>
  <cols>
    <col min="1" max="1" width="46.28515625" style="106" customWidth="1"/>
    <col min="2" max="2" width="12" style="106" customWidth="1"/>
    <col min="3" max="3" width="13.28515625" style="106" bestFit="1" customWidth="1"/>
    <col min="4" max="4" width="14" style="106" customWidth="1"/>
    <col min="5" max="5" width="14.42578125" style="106" customWidth="1"/>
    <col min="6" max="7" width="13.28515625" style="106" bestFit="1" customWidth="1"/>
    <col min="8" max="8" width="47.5703125" style="106" bestFit="1" customWidth="1"/>
    <col min="9" max="9" width="11.7109375" style="107" customWidth="1"/>
    <col min="10" max="16384" width="9.140625" style="106"/>
  </cols>
  <sheetData>
    <row r="1" spans="1:7" x14ac:dyDescent="0.25">
      <c r="A1" s="106" t="s">
        <v>9</v>
      </c>
      <c r="G1" s="106" t="s">
        <v>96</v>
      </c>
    </row>
    <row r="3" spans="1:7" ht="21" x14ac:dyDescent="0.35">
      <c r="A3" s="604" t="s">
        <v>10</v>
      </c>
      <c r="B3" s="604"/>
      <c r="C3" s="604"/>
      <c r="D3" s="604"/>
      <c r="E3" s="604"/>
      <c r="F3" s="604"/>
      <c r="G3" s="604"/>
    </row>
    <row r="4" spans="1:7" ht="21" x14ac:dyDescent="0.35">
      <c r="A4" s="604" t="s">
        <v>127</v>
      </c>
      <c r="B4" s="604"/>
      <c r="C4" s="604"/>
      <c r="D4" s="604"/>
      <c r="E4" s="604"/>
      <c r="F4" s="604"/>
      <c r="G4" s="604"/>
    </row>
    <row r="5" spans="1:7" ht="21" x14ac:dyDescent="0.35">
      <c r="A5" s="157"/>
      <c r="B5" s="156"/>
      <c r="C5" s="156"/>
      <c r="D5" s="156"/>
      <c r="E5" s="156"/>
      <c r="F5" s="156"/>
      <c r="G5" s="156"/>
    </row>
    <row r="6" spans="1:7" ht="21" x14ac:dyDescent="0.35">
      <c r="A6" s="157" t="s">
        <v>84</v>
      </c>
      <c r="B6" s="156"/>
      <c r="C6" s="156"/>
      <c r="D6" s="156"/>
      <c r="E6" s="156"/>
      <c r="F6" s="156"/>
      <c r="G6" s="156"/>
    </row>
    <row r="7" spans="1:7" ht="21" x14ac:dyDescent="0.35">
      <c r="A7" s="156" t="s">
        <v>83</v>
      </c>
      <c r="B7" s="156"/>
      <c r="C7" s="156"/>
      <c r="D7" s="156"/>
      <c r="E7" s="156"/>
      <c r="F7" s="156"/>
      <c r="G7" s="156"/>
    </row>
    <row r="8" spans="1:7" ht="21" x14ac:dyDescent="0.35">
      <c r="A8" s="156" t="s">
        <v>82</v>
      </c>
      <c r="B8" s="156"/>
      <c r="C8" s="156"/>
      <c r="D8" s="156"/>
      <c r="E8" s="156"/>
      <c r="F8" s="156"/>
      <c r="G8" s="156"/>
    </row>
    <row r="9" spans="1:7" ht="21" x14ac:dyDescent="0.35">
      <c r="A9" s="156"/>
      <c r="B9" s="156"/>
      <c r="C9" s="156"/>
      <c r="D9" s="156"/>
      <c r="E9" s="156"/>
      <c r="F9" s="156"/>
      <c r="G9" s="156"/>
    </row>
    <row r="10" spans="1:7" x14ac:dyDescent="0.25">
      <c r="A10" s="562" t="s">
        <v>0</v>
      </c>
      <c r="B10" s="564" t="s">
        <v>1</v>
      </c>
      <c r="C10" s="108" t="s">
        <v>2</v>
      </c>
      <c r="D10" s="562" t="s">
        <v>8</v>
      </c>
      <c r="E10" s="566"/>
      <c r="F10" s="567"/>
      <c r="G10" s="108" t="s">
        <v>3</v>
      </c>
    </row>
    <row r="11" spans="1:7" ht="45" x14ac:dyDescent="0.25">
      <c r="A11" s="563"/>
      <c r="B11" s="565"/>
      <c r="C11" s="109" t="s">
        <v>4</v>
      </c>
      <c r="D11" s="166" t="s">
        <v>118</v>
      </c>
      <c r="E11" s="166" t="s">
        <v>110</v>
      </c>
      <c r="F11" s="108" t="s">
        <v>5</v>
      </c>
      <c r="G11" s="109" t="s">
        <v>6</v>
      </c>
    </row>
    <row r="12" spans="1:7" x14ac:dyDescent="0.25">
      <c r="A12" s="146"/>
      <c r="B12" s="109"/>
      <c r="C12" s="109">
        <v>2016</v>
      </c>
      <c r="D12" s="109" t="s">
        <v>4</v>
      </c>
      <c r="E12" s="109" t="s">
        <v>7</v>
      </c>
      <c r="F12" s="109"/>
      <c r="G12" s="109"/>
    </row>
    <row r="13" spans="1:7" x14ac:dyDescent="0.25">
      <c r="A13" s="146"/>
      <c r="B13" s="109"/>
      <c r="C13" s="109"/>
      <c r="D13" s="109">
        <v>2017</v>
      </c>
      <c r="E13" s="109">
        <v>2017</v>
      </c>
      <c r="F13" s="109"/>
      <c r="G13" s="109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145"/>
      <c r="B15" s="108"/>
      <c r="C15" s="108"/>
      <c r="D15" s="108"/>
      <c r="E15" s="108"/>
      <c r="F15" s="108"/>
      <c r="G15" s="108"/>
    </row>
    <row r="16" spans="1:7" x14ac:dyDescent="0.25">
      <c r="A16" s="110" t="s">
        <v>11</v>
      </c>
      <c r="B16" s="109"/>
      <c r="C16" s="109"/>
      <c r="D16" s="109"/>
      <c r="E16" s="109"/>
      <c r="F16" s="109"/>
      <c r="G16" s="109"/>
    </row>
    <row r="17" spans="1:9" x14ac:dyDescent="0.25">
      <c r="A17" s="82" t="s">
        <v>94</v>
      </c>
      <c r="B17" s="111">
        <v>50101010</v>
      </c>
      <c r="C17" s="112">
        <v>1267776</v>
      </c>
      <c r="D17" s="112">
        <v>923371</v>
      </c>
      <c r="E17" s="113">
        <f>F17-D17</f>
        <v>246798.17999999993</v>
      </c>
      <c r="F17" s="112">
        <v>1170169.18</v>
      </c>
      <c r="G17" s="114">
        <v>2233776</v>
      </c>
      <c r="H17" s="82"/>
      <c r="I17" s="115"/>
    </row>
    <row r="18" spans="1:9" x14ac:dyDescent="0.25">
      <c r="A18" s="82" t="s">
        <v>159</v>
      </c>
      <c r="B18" s="111"/>
      <c r="C18" s="112"/>
      <c r="D18" s="112">
        <v>51130</v>
      </c>
      <c r="E18" s="113">
        <f t="shared" ref="E18:E32" si="0">F18-D18</f>
        <v>50400</v>
      </c>
      <c r="F18" s="112">
        <v>101530</v>
      </c>
      <c r="G18" s="114">
        <v>60000</v>
      </c>
      <c r="H18" s="132"/>
      <c r="I18" s="115"/>
    </row>
    <row r="19" spans="1:9" x14ac:dyDescent="0.25">
      <c r="A19" s="92" t="s">
        <v>52</v>
      </c>
      <c r="B19" s="116">
        <v>50102010</v>
      </c>
      <c r="C19" s="112">
        <v>144000</v>
      </c>
      <c r="D19" s="112">
        <v>108000</v>
      </c>
      <c r="E19" s="113">
        <f t="shared" si="0"/>
        <v>24727.26999999999</v>
      </c>
      <c r="F19" s="112">
        <v>132727.26999999999</v>
      </c>
      <c r="G19" s="114">
        <v>192000</v>
      </c>
      <c r="H19" s="118"/>
      <c r="I19" s="117"/>
    </row>
    <row r="20" spans="1:9" x14ac:dyDescent="0.25">
      <c r="A20" s="92" t="s">
        <v>51</v>
      </c>
      <c r="B20" s="116">
        <v>50102020</v>
      </c>
      <c r="C20" s="112">
        <v>67500</v>
      </c>
      <c r="D20" s="112"/>
      <c r="E20" s="113">
        <f t="shared" si="0"/>
        <v>67500</v>
      </c>
      <c r="F20" s="112">
        <v>67500</v>
      </c>
      <c r="G20" s="114">
        <v>123000</v>
      </c>
      <c r="H20" s="118"/>
      <c r="I20" s="117"/>
    </row>
    <row r="21" spans="1:9" x14ac:dyDescent="0.25">
      <c r="A21" s="92" t="s">
        <v>48</v>
      </c>
      <c r="B21" s="116">
        <v>50102030</v>
      </c>
      <c r="C21" s="112">
        <v>67500</v>
      </c>
      <c r="D21" s="112"/>
      <c r="E21" s="113">
        <f t="shared" si="0"/>
        <v>67500</v>
      </c>
      <c r="F21" s="112">
        <v>67500</v>
      </c>
      <c r="G21" s="114">
        <v>123000</v>
      </c>
      <c r="H21" s="118"/>
      <c r="I21" s="117"/>
    </row>
    <row r="22" spans="1:9" x14ac:dyDescent="0.25">
      <c r="A22" s="92" t="s">
        <v>49</v>
      </c>
      <c r="B22" s="116">
        <v>50102040</v>
      </c>
      <c r="C22" s="112">
        <v>30000</v>
      </c>
      <c r="D22" s="112"/>
      <c r="E22" s="113">
        <f t="shared" si="0"/>
        <v>30000</v>
      </c>
      <c r="F22" s="112">
        <v>30000</v>
      </c>
      <c r="G22" s="114">
        <v>40000</v>
      </c>
      <c r="H22" s="118"/>
      <c r="I22" s="117"/>
    </row>
    <row r="23" spans="1:9" hidden="1" x14ac:dyDescent="0.25">
      <c r="A23" s="92" t="s">
        <v>50</v>
      </c>
      <c r="B23" s="116">
        <v>50102080</v>
      </c>
      <c r="C23" s="112"/>
      <c r="D23" s="112"/>
      <c r="E23" s="113">
        <f t="shared" si="0"/>
        <v>0</v>
      </c>
      <c r="F23" s="112"/>
      <c r="G23" s="97"/>
      <c r="H23" s="118"/>
      <c r="I23" s="117"/>
    </row>
    <row r="24" spans="1:9" x14ac:dyDescent="0.25">
      <c r="A24" s="92" t="s">
        <v>47</v>
      </c>
      <c r="B24" s="116">
        <v>50102150</v>
      </c>
      <c r="C24" s="112">
        <v>30000</v>
      </c>
      <c r="D24" s="112"/>
      <c r="E24" s="113">
        <f t="shared" si="0"/>
        <v>30000</v>
      </c>
      <c r="F24" s="112">
        <v>30000</v>
      </c>
      <c r="G24" s="114">
        <v>40000</v>
      </c>
      <c r="H24" s="118"/>
      <c r="I24" s="117"/>
    </row>
    <row r="25" spans="1:9" x14ac:dyDescent="0.25">
      <c r="A25" s="92" t="s">
        <v>46</v>
      </c>
      <c r="B25" s="116">
        <v>50102140</v>
      </c>
      <c r="C25" s="112">
        <v>90648</v>
      </c>
      <c r="D25" s="112"/>
      <c r="E25" s="113">
        <f t="shared" si="0"/>
        <v>114240</v>
      </c>
      <c r="F25" s="112">
        <v>114240</v>
      </c>
      <c r="G25" s="114">
        <v>186148</v>
      </c>
      <c r="H25" s="118"/>
      <c r="I25" s="117"/>
    </row>
    <row r="26" spans="1:9" x14ac:dyDescent="0.25">
      <c r="A26" s="92" t="s">
        <v>39</v>
      </c>
      <c r="B26" s="116">
        <v>50102990</v>
      </c>
      <c r="C26" s="112">
        <v>90648</v>
      </c>
      <c r="D26" s="112"/>
      <c r="E26" s="113">
        <f t="shared" si="0"/>
        <v>113446</v>
      </c>
      <c r="F26" s="112">
        <v>113446</v>
      </c>
      <c r="G26" s="114">
        <v>317322</v>
      </c>
      <c r="H26" s="118"/>
      <c r="I26" s="117"/>
    </row>
    <row r="27" spans="1:9" x14ac:dyDescent="0.25">
      <c r="A27" s="92" t="s">
        <v>40</v>
      </c>
      <c r="B27" s="116">
        <v>50103010</v>
      </c>
      <c r="C27" s="112">
        <v>152133.12</v>
      </c>
      <c r="D27" s="112">
        <v>79969.84</v>
      </c>
      <c r="E27" s="113">
        <f t="shared" si="0"/>
        <v>29615.78</v>
      </c>
      <c r="F27" s="112">
        <v>109585.62</v>
      </c>
      <c r="G27" s="114">
        <v>188890.56</v>
      </c>
      <c r="H27" s="118"/>
      <c r="I27" s="117"/>
    </row>
    <row r="28" spans="1:9" x14ac:dyDescent="0.25">
      <c r="A28" s="92" t="s">
        <v>41</v>
      </c>
      <c r="B28" s="116">
        <v>50103020</v>
      </c>
      <c r="C28" s="112">
        <v>7200</v>
      </c>
      <c r="D28" s="112">
        <v>3600</v>
      </c>
      <c r="E28" s="113">
        <f t="shared" si="0"/>
        <v>1300</v>
      </c>
      <c r="F28" s="112">
        <v>4900</v>
      </c>
      <c r="G28" s="114">
        <v>8400</v>
      </c>
      <c r="H28" s="118"/>
      <c r="I28" s="117"/>
    </row>
    <row r="29" spans="1:9" x14ac:dyDescent="0.25">
      <c r="A29" s="92" t="s">
        <v>42</v>
      </c>
      <c r="B29" s="116">
        <v>50103030</v>
      </c>
      <c r="C29" s="112">
        <v>14550</v>
      </c>
      <c r="D29" s="112">
        <v>12125</v>
      </c>
      <c r="E29" s="113">
        <f t="shared" si="0"/>
        <v>2525</v>
      </c>
      <c r="F29" s="112">
        <v>14650</v>
      </c>
      <c r="G29" s="114">
        <v>15300</v>
      </c>
      <c r="H29" s="118"/>
      <c r="I29" s="117"/>
    </row>
    <row r="30" spans="1:9" x14ac:dyDescent="0.25">
      <c r="A30" s="92" t="s">
        <v>43</v>
      </c>
      <c r="B30" s="116">
        <v>50103040</v>
      </c>
      <c r="C30" s="112">
        <v>6886.2</v>
      </c>
      <c r="D30" s="112">
        <v>3458.26</v>
      </c>
      <c r="E30" s="113">
        <f t="shared" si="0"/>
        <v>1255.2799999999997</v>
      </c>
      <c r="F30" s="112">
        <v>4713.54</v>
      </c>
      <c r="G30" s="114">
        <v>15740.88</v>
      </c>
      <c r="H30" s="118"/>
      <c r="I30" s="117"/>
    </row>
    <row r="31" spans="1:9" x14ac:dyDescent="0.25">
      <c r="A31" s="92" t="s">
        <v>44</v>
      </c>
      <c r="B31" s="116">
        <v>50101990</v>
      </c>
      <c r="C31" s="112">
        <v>148053.38</v>
      </c>
      <c r="D31" s="112"/>
      <c r="E31" s="113">
        <f t="shared" si="0"/>
        <v>109345.38</v>
      </c>
      <c r="F31" s="112">
        <v>109345.38</v>
      </c>
      <c r="G31" s="114">
        <v>118834.52</v>
      </c>
      <c r="H31" s="118"/>
      <c r="I31" s="117"/>
    </row>
    <row r="32" spans="1:9" x14ac:dyDescent="0.25">
      <c r="A32" s="92" t="s">
        <v>45</v>
      </c>
      <c r="B32" s="116">
        <v>50102990</v>
      </c>
      <c r="C32" s="112">
        <v>30000</v>
      </c>
      <c r="D32" s="112"/>
      <c r="E32" s="113">
        <f t="shared" si="0"/>
        <v>30000</v>
      </c>
      <c r="F32" s="112">
        <v>30000</v>
      </c>
      <c r="G32" s="114">
        <v>35000</v>
      </c>
      <c r="H32" s="118"/>
      <c r="I32" s="117"/>
    </row>
    <row r="33" spans="1:7" x14ac:dyDescent="0.25">
      <c r="A33" s="71" t="s">
        <v>58</v>
      </c>
      <c r="B33" s="119"/>
      <c r="C33" s="120">
        <f>SUM(C17:C32)</f>
        <v>2146894.7000000002</v>
      </c>
      <c r="D33" s="120">
        <f>SUM(D17:D32)</f>
        <v>1181654.1000000001</v>
      </c>
      <c r="E33" s="120">
        <f>SUM(E17:E32)</f>
        <v>918652.89</v>
      </c>
      <c r="F33" s="120">
        <f>SUM(F17:F32)</f>
        <v>2100306.9899999998</v>
      </c>
      <c r="G33" s="120">
        <f>SUM(G17:G32)</f>
        <v>3697411.96</v>
      </c>
    </row>
    <row r="34" spans="1:7" x14ac:dyDescent="0.25">
      <c r="A34" s="121" t="s">
        <v>14</v>
      </c>
      <c r="B34" s="123"/>
      <c r="C34" s="122"/>
      <c r="D34" s="122"/>
      <c r="E34" s="122"/>
      <c r="F34" s="122"/>
      <c r="G34" s="122"/>
    </row>
    <row r="35" spans="1:7" x14ac:dyDescent="0.25">
      <c r="A35" s="54" t="s">
        <v>17</v>
      </c>
      <c r="B35" s="29">
        <v>50203010</v>
      </c>
      <c r="C35" s="100">
        <v>40284</v>
      </c>
      <c r="D35" s="100">
        <v>17707.580000000002</v>
      </c>
      <c r="E35" s="129">
        <f>F35-D35</f>
        <v>11925.699999999997</v>
      </c>
      <c r="F35" s="129">
        <v>29633.279999999999</v>
      </c>
      <c r="G35" s="124">
        <v>40000</v>
      </c>
    </row>
    <row r="36" spans="1:7" x14ac:dyDescent="0.25">
      <c r="A36" s="54" t="s">
        <v>158</v>
      </c>
      <c r="B36" s="29">
        <v>50201010</v>
      </c>
      <c r="C36" s="100">
        <v>230279.52</v>
      </c>
      <c r="D36" s="100">
        <v>106473.8</v>
      </c>
      <c r="E36" s="129">
        <f>F36-D36</f>
        <v>103513.74999999999</v>
      </c>
      <c r="F36" s="129">
        <v>209987.55</v>
      </c>
      <c r="G36" s="124">
        <v>170000</v>
      </c>
    </row>
    <row r="37" spans="1:7" x14ac:dyDescent="0.25">
      <c r="A37" s="54" t="s">
        <v>27</v>
      </c>
      <c r="B37" s="31">
        <v>50202010</v>
      </c>
      <c r="C37" s="100">
        <v>55125.01</v>
      </c>
      <c r="D37" s="100">
        <v>14585</v>
      </c>
      <c r="E37" s="129">
        <f>F37-D37</f>
        <v>4500</v>
      </c>
      <c r="F37" s="129">
        <v>19085</v>
      </c>
      <c r="G37" s="124">
        <v>42000</v>
      </c>
    </row>
    <row r="38" spans="1:7" x14ac:dyDescent="0.25">
      <c r="A38" s="54" t="s">
        <v>29</v>
      </c>
      <c r="B38" s="31">
        <v>50205020</v>
      </c>
      <c r="C38" s="100"/>
      <c r="D38" s="100"/>
      <c r="E38" s="129"/>
      <c r="F38" s="129"/>
      <c r="G38" s="124">
        <v>18000</v>
      </c>
    </row>
    <row r="39" spans="1:7" x14ac:dyDescent="0.25">
      <c r="A39" s="54" t="s">
        <v>163</v>
      </c>
      <c r="B39" s="31">
        <v>5021990</v>
      </c>
      <c r="C39" s="100">
        <v>308945.03999999998</v>
      </c>
      <c r="D39" s="100"/>
      <c r="E39" s="129"/>
      <c r="F39" s="129"/>
      <c r="G39" s="51">
        <v>140000</v>
      </c>
    </row>
    <row r="40" spans="1:7" x14ac:dyDescent="0.25">
      <c r="A40" s="54" t="s">
        <v>31</v>
      </c>
      <c r="B40" s="31">
        <v>50213990</v>
      </c>
      <c r="C40" s="100"/>
      <c r="D40" s="100"/>
      <c r="E40" s="129"/>
      <c r="F40" s="129"/>
      <c r="G40" s="124"/>
    </row>
    <row r="41" spans="1:7" x14ac:dyDescent="0.25">
      <c r="A41" s="54" t="s">
        <v>160</v>
      </c>
      <c r="B41" s="31"/>
      <c r="C41" s="100"/>
      <c r="D41" s="100"/>
      <c r="E41" s="129"/>
      <c r="F41" s="129"/>
      <c r="G41" s="124"/>
    </row>
    <row r="42" spans="1:7" x14ac:dyDescent="0.25">
      <c r="A42" s="54" t="s">
        <v>164</v>
      </c>
      <c r="B42" s="38">
        <v>50203090</v>
      </c>
      <c r="C42" s="100"/>
      <c r="D42" s="100"/>
      <c r="E42" s="129"/>
      <c r="F42" s="129"/>
      <c r="G42" s="125"/>
    </row>
    <row r="43" spans="1:7" hidden="1" x14ac:dyDescent="0.25">
      <c r="A43" s="81" t="s">
        <v>35</v>
      </c>
      <c r="B43" s="123"/>
      <c r="C43" s="100"/>
      <c r="D43" s="100"/>
      <c r="E43" s="129"/>
      <c r="F43" s="129"/>
      <c r="G43" s="51"/>
    </row>
    <row r="44" spans="1:7" hidden="1" x14ac:dyDescent="0.25">
      <c r="A44" s="81" t="s">
        <v>36</v>
      </c>
      <c r="B44" s="123"/>
      <c r="C44" s="100"/>
      <c r="D44" s="100"/>
      <c r="E44" s="129"/>
      <c r="F44" s="129"/>
      <c r="G44" s="51"/>
    </row>
    <row r="45" spans="1:7" hidden="1" x14ac:dyDescent="0.25">
      <c r="A45" s="81" t="s">
        <v>37</v>
      </c>
      <c r="B45" s="123"/>
      <c r="C45" s="100"/>
      <c r="D45" s="100"/>
      <c r="E45" s="129"/>
      <c r="F45" s="129"/>
      <c r="G45" s="51"/>
    </row>
    <row r="46" spans="1:7" hidden="1" x14ac:dyDescent="0.25">
      <c r="A46" s="81" t="s">
        <v>38</v>
      </c>
      <c r="B46" s="123"/>
      <c r="C46" s="100"/>
      <c r="D46" s="100"/>
      <c r="E46" s="129"/>
      <c r="F46" s="129"/>
      <c r="G46" s="51"/>
    </row>
    <row r="47" spans="1:7" x14ac:dyDescent="0.25">
      <c r="A47" s="81" t="s">
        <v>230</v>
      </c>
      <c r="B47" s="123"/>
      <c r="C47" s="100"/>
      <c r="D47" s="100">
        <v>91800</v>
      </c>
      <c r="E47" s="129">
        <f>F47-D47</f>
        <v>57043</v>
      </c>
      <c r="F47" s="129">
        <v>148843</v>
      </c>
      <c r="G47" s="51"/>
    </row>
    <row r="48" spans="1:7" x14ac:dyDescent="0.25">
      <c r="A48" s="81"/>
      <c r="B48" s="123"/>
      <c r="C48" s="100"/>
      <c r="D48" s="100"/>
      <c r="E48" s="129"/>
      <c r="F48" s="129"/>
      <c r="G48" s="51"/>
    </row>
    <row r="49" spans="1:8" x14ac:dyDescent="0.25">
      <c r="A49" s="126" t="s">
        <v>24</v>
      </c>
      <c r="B49" s="127"/>
      <c r="C49" s="71">
        <f>SUM(C35:C46)</f>
        <v>634633.57000000007</v>
      </c>
      <c r="D49" s="71">
        <f>SUM(D35:D48)</f>
        <v>230566.38</v>
      </c>
      <c r="E49" s="71">
        <f>SUM(E35:E48)</f>
        <v>176982.44999999998</v>
      </c>
      <c r="F49" s="71">
        <f>SUM(F35:F48)</f>
        <v>407548.82999999996</v>
      </c>
      <c r="G49" s="71">
        <f>SUM(G35:G48)</f>
        <v>410000</v>
      </c>
    </row>
    <row r="50" spans="1:8" x14ac:dyDescent="0.25">
      <c r="A50" s="24" t="s">
        <v>13</v>
      </c>
      <c r="B50" s="23"/>
      <c r="C50" s="23"/>
      <c r="D50" s="23"/>
      <c r="E50" s="23"/>
      <c r="F50" s="23"/>
      <c r="G50" s="23"/>
    </row>
    <row r="51" spans="1:8" x14ac:dyDescent="0.25">
      <c r="A51" s="54" t="s">
        <v>131</v>
      </c>
      <c r="B51" s="5">
        <v>10705990</v>
      </c>
      <c r="C51" s="14">
        <v>19863.349999999999</v>
      </c>
      <c r="D51" s="14">
        <v>7813.59</v>
      </c>
      <c r="E51" s="14">
        <v>54238.52</v>
      </c>
      <c r="F51" s="14"/>
      <c r="G51" s="14">
        <v>182000</v>
      </c>
    </row>
    <row r="52" spans="1:8" x14ac:dyDescent="0.25">
      <c r="A52" s="12" t="s">
        <v>60</v>
      </c>
      <c r="B52" s="27"/>
      <c r="C52" s="27">
        <f>SUM(C51:C51)</f>
        <v>19863.349999999999</v>
      </c>
      <c r="D52" s="27">
        <f>SUM(D51)</f>
        <v>7813.59</v>
      </c>
      <c r="E52" s="27"/>
      <c r="F52" s="27"/>
      <c r="G52" s="27">
        <f>SUM(G51:G51)</f>
        <v>182000</v>
      </c>
    </row>
    <row r="53" spans="1:8" x14ac:dyDescent="0.25">
      <c r="A53" s="69" t="s">
        <v>61</v>
      </c>
      <c r="B53" s="127"/>
      <c r="C53" s="128">
        <f>C33+C49+C52</f>
        <v>2801391.6200000006</v>
      </c>
      <c r="D53" s="128">
        <f>D33+D49+D52</f>
        <v>1420034.07</v>
      </c>
      <c r="E53" s="128">
        <f>E49+E51</f>
        <v>231220.96999999997</v>
      </c>
      <c r="F53" s="128">
        <f>+F33+F49</f>
        <v>2507855.8199999998</v>
      </c>
      <c r="G53" s="128">
        <f>G33+G49+G52</f>
        <v>4289411.96</v>
      </c>
      <c r="H53" s="135"/>
    </row>
    <row r="55" spans="1:8" ht="30" customHeight="1" x14ac:dyDescent="0.35">
      <c r="A55" s="156" t="s">
        <v>68</v>
      </c>
      <c r="B55" s="154" t="s">
        <v>69</v>
      </c>
      <c r="C55" s="154"/>
      <c r="D55" s="154"/>
      <c r="E55" s="154" t="s">
        <v>314</v>
      </c>
      <c r="F55" s="154"/>
      <c r="G55" s="156"/>
    </row>
    <row r="56" spans="1:8" ht="27" customHeight="1" x14ac:dyDescent="0.35">
      <c r="A56" s="156"/>
      <c r="B56" s="154"/>
      <c r="C56" s="154"/>
      <c r="D56" s="154"/>
      <c r="E56" s="154"/>
      <c r="F56" s="154"/>
      <c r="G56" s="156"/>
    </row>
    <row r="57" spans="1:8" ht="21" x14ac:dyDescent="0.35">
      <c r="A57" s="157" t="s">
        <v>198</v>
      </c>
      <c r="B57" s="155" t="s">
        <v>157</v>
      </c>
      <c r="C57" s="154"/>
      <c r="D57" s="154"/>
      <c r="E57" s="155" t="s">
        <v>312</v>
      </c>
      <c r="F57" s="154"/>
      <c r="G57" s="156"/>
    </row>
    <row r="58" spans="1:8" ht="21" x14ac:dyDescent="0.35">
      <c r="A58" s="156" t="s">
        <v>261</v>
      </c>
      <c r="B58" s="154" t="s">
        <v>257</v>
      </c>
      <c r="C58" s="154"/>
      <c r="D58" s="154"/>
      <c r="E58" s="154" t="s">
        <v>313</v>
      </c>
      <c r="F58" s="154"/>
      <c r="G58" s="156"/>
    </row>
    <row r="59" spans="1:8" ht="21" x14ac:dyDescent="0.35">
      <c r="A59" s="156"/>
      <c r="B59" s="156"/>
      <c r="C59" s="156"/>
      <c r="D59" s="156"/>
      <c r="E59" s="156"/>
      <c r="F59" s="156"/>
      <c r="G59" s="156"/>
    </row>
    <row r="60" spans="1:8" ht="21" x14ac:dyDescent="0.35">
      <c r="A60" s="156"/>
      <c r="B60" s="156"/>
      <c r="C60" s="156"/>
      <c r="D60" s="156"/>
      <c r="E60" s="156"/>
      <c r="F60" s="156"/>
      <c r="G60" s="156"/>
    </row>
    <row r="61" spans="1:8" ht="21" x14ac:dyDescent="0.35">
      <c r="A61" s="156"/>
      <c r="B61" s="156"/>
      <c r="C61" s="156"/>
      <c r="D61" s="156"/>
      <c r="E61" s="156"/>
      <c r="F61" s="156"/>
      <c r="G61" s="156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I63"/>
  <sheetViews>
    <sheetView topLeftCell="A45" workbookViewId="0">
      <selection activeCell="A62" sqref="A62"/>
    </sheetView>
  </sheetViews>
  <sheetFormatPr defaultRowHeight="15" x14ac:dyDescent="0.25"/>
  <cols>
    <col min="1" max="1" width="46.42578125" style="16" customWidth="1"/>
    <col min="2" max="2" width="10.140625" style="16" customWidth="1"/>
    <col min="3" max="3" width="13.28515625" style="16" bestFit="1" customWidth="1"/>
    <col min="4" max="4" width="13.85546875" style="16" bestFit="1" customWidth="1"/>
    <col min="5" max="5" width="13.85546875" style="16" customWidth="1"/>
    <col min="6" max="6" width="15.140625" style="16" customWidth="1"/>
    <col min="7" max="7" width="14.28515625" style="16" bestFit="1" customWidth="1"/>
    <col min="8" max="8" width="39.5703125" style="16" customWidth="1"/>
    <col min="9" max="9" width="11.7109375" style="16" customWidth="1"/>
    <col min="10" max="16384" width="9.140625" style="16"/>
  </cols>
  <sheetData>
    <row r="1" spans="1:7" x14ac:dyDescent="0.25">
      <c r="A1" s="16" t="s">
        <v>9</v>
      </c>
      <c r="G1" s="16" t="s">
        <v>96</v>
      </c>
    </row>
    <row r="2" spans="1:7" ht="6.75" customHeight="1" x14ac:dyDescent="0.25"/>
    <row r="3" spans="1:7" ht="21" x14ac:dyDescent="0.35">
      <c r="A3" s="602" t="s">
        <v>10</v>
      </c>
      <c r="B3" s="602"/>
      <c r="C3" s="602"/>
      <c r="D3" s="602"/>
      <c r="E3" s="602"/>
      <c r="F3" s="602"/>
      <c r="G3" s="602"/>
    </row>
    <row r="4" spans="1:7" ht="21" x14ac:dyDescent="0.35">
      <c r="A4" s="602" t="s">
        <v>127</v>
      </c>
      <c r="B4" s="602"/>
      <c r="C4" s="602"/>
      <c r="D4" s="602"/>
      <c r="E4" s="602"/>
      <c r="F4" s="602"/>
      <c r="G4" s="602"/>
    </row>
    <row r="5" spans="1:7" ht="3" customHeight="1" x14ac:dyDescent="0.35">
      <c r="A5" s="153"/>
      <c r="B5" s="152"/>
      <c r="C5" s="152"/>
      <c r="D5" s="152"/>
      <c r="E5" s="152"/>
      <c r="F5" s="152"/>
      <c r="G5" s="152"/>
    </row>
    <row r="6" spans="1:7" ht="27" customHeight="1" x14ac:dyDescent="0.35">
      <c r="A6" s="153" t="s">
        <v>86</v>
      </c>
      <c r="B6" s="152"/>
      <c r="C6" s="152"/>
      <c r="D6" s="152"/>
      <c r="E6" s="152"/>
      <c r="F6" s="152"/>
      <c r="G6" s="152"/>
    </row>
    <row r="7" spans="1:7" ht="21" x14ac:dyDescent="0.35">
      <c r="A7" s="152" t="s">
        <v>87</v>
      </c>
      <c r="B7" s="152"/>
      <c r="C7" s="152"/>
      <c r="D7" s="152"/>
      <c r="E7" s="152"/>
      <c r="F7" s="152"/>
      <c r="G7" s="152"/>
    </row>
    <row r="8" spans="1:7" ht="21" x14ac:dyDescent="0.35">
      <c r="A8" s="152" t="s">
        <v>85</v>
      </c>
      <c r="B8" s="152"/>
      <c r="C8" s="152"/>
      <c r="D8" s="152"/>
      <c r="E8" s="152"/>
      <c r="F8" s="152"/>
      <c r="G8" s="152"/>
    </row>
    <row r="9" spans="1:7" ht="3.75" customHeight="1" x14ac:dyDescent="0.25"/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4" customHeight="1" x14ac:dyDescent="0.25">
      <c r="A11" s="597"/>
      <c r="B11" s="599"/>
      <c r="C11" s="18" t="s">
        <v>4</v>
      </c>
      <c r="D11" s="165" t="s">
        <v>120</v>
      </c>
      <c r="E11" s="165" t="s">
        <v>119</v>
      </c>
      <c r="F11" s="17" t="s">
        <v>5</v>
      </c>
      <c r="G11" s="18" t="s">
        <v>6</v>
      </c>
    </row>
    <row r="12" spans="1:7" x14ac:dyDescent="0.25">
      <c r="A12" s="86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86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ht="6.75" customHeight="1" x14ac:dyDescent="0.25">
      <c r="A15" s="85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18"/>
      <c r="G16" s="18"/>
    </row>
    <row r="17" spans="1:8" hidden="1" x14ac:dyDescent="0.25">
      <c r="A17" s="54" t="s">
        <v>57</v>
      </c>
      <c r="B17" s="18"/>
      <c r="C17" s="18"/>
      <c r="D17" s="18"/>
      <c r="E17" s="18"/>
      <c r="F17" s="18"/>
      <c r="G17" s="43"/>
    </row>
    <row r="18" spans="1:8" x14ac:dyDescent="0.25">
      <c r="A18" s="54" t="s">
        <v>94</v>
      </c>
      <c r="B18" s="38">
        <v>50101010</v>
      </c>
      <c r="C18" s="208">
        <v>782292</v>
      </c>
      <c r="D18" s="240">
        <v>565050</v>
      </c>
      <c r="E18" s="241">
        <f>F18-D18</f>
        <v>160230</v>
      </c>
      <c r="F18" s="240">
        <v>725280</v>
      </c>
      <c r="G18" s="65">
        <v>1175640</v>
      </c>
    </row>
    <row r="19" spans="1:8" hidden="1" x14ac:dyDescent="0.25">
      <c r="A19" s="54" t="s">
        <v>94</v>
      </c>
      <c r="B19" s="18"/>
      <c r="C19" s="76"/>
      <c r="D19" s="240"/>
      <c r="E19" s="241">
        <f t="shared" ref="E19:E34" si="0">F19-D19</f>
        <v>0</v>
      </c>
      <c r="F19" s="240"/>
      <c r="G19" s="43"/>
    </row>
    <row r="20" spans="1:8" hidden="1" x14ac:dyDescent="0.25">
      <c r="A20" s="54" t="s">
        <v>94</v>
      </c>
      <c r="B20" s="18"/>
      <c r="C20" s="76"/>
      <c r="D20" s="240"/>
      <c r="E20" s="241">
        <f t="shared" si="0"/>
        <v>0</v>
      </c>
      <c r="F20" s="240"/>
      <c r="G20" s="43"/>
    </row>
    <row r="21" spans="1:8" x14ac:dyDescent="0.25">
      <c r="A21" s="54" t="s">
        <v>159</v>
      </c>
      <c r="B21" s="18"/>
      <c r="C21" s="76"/>
      <c r="D21" s="240">
        <v>92400</v>
      </c>
      <c r="E21" s="241">
        <f t="shared" si="0"/>
        <v>0</v>
      </c>
      <c r="F21" s="240">
        <v>92400</v>
      </c>
      <c r="G21" s="76">
        <v>100000</v>
      </c>
      <c r="H21" s="16">
        <v>300000</v>
      </c>
    </row>
    <row r="22" spans="1:8" x14ac:dyDescent="0.25">
      <c r="A22" s="72" t="s">
        <v>52</v>
      </c>
      <c r="B22" s="52">
        <v>50102010</v>
      </c>
      <c r="C22" s="208">
        <v>72000</v>
      </c>
      <c r="D22" s="240">
        <v>54000</v>
      </c>
      <c r="E22" s="241">
        <f t="shared" si="0"/>
        <v>12000</v>
      </c>
      <c r="F22" s="240">
        <v>66000</v>
      </c>
      <c r="G22" s="65">
        <v>96000</v>
      </c>
    </row>
    <row r="23" spans="1:8" x14ac:dyDescent="0.25">
      <c r="A23" s="72" t="s">
        <v>51</v>
      </c>
      <c r="B23" s="52">
        <v>50102020</v>
      </c>
      <c r="C23" s="208">
        <v>67500</v>
      </c>
      <c r="D23" s="240"/>
      <c r="E23" s="241">
        <f t="shared" si="0"/>
        <v>67500</v>
      </c>
      <c r="F23" s="240">
        <v>67500</v>
      </c>
      <c r="G23" s="65">
        <v>67500</v>
      </c>
    </row>
    <row r="24" spans="1:8" x14ac:dyDescent="0.25">
      <c r="A24" s="72" t="s">
        <v>48</v>
      </c>
      <c r="B24" s="52">
        <v>50102030</v>
      </c>
      <c r="C24" s="208">
        <v>67500</v>
      </c>
      <c r="D24" s="240"/>
      <c r="E24" s="241">
        <f t="shared" si="0"/>
        <v>67500</v>
      </c>
      <c r="F24" s="240">
        <v>67500</v>
      </c>
      <c r="G24" s="65">
        <v>67500</v>
      </c>
    </row>
    <row r="25" spans="1:8" x14ac:dyDescent="0.25">
      <c r="A25" s="72" t="s">
        <v>49</v>
      </c>
      <c r="B25" s="52">
        <v>50102040</v>
      </c>
      <c r="C25" s="208">
        <v>15000</v>
      </c>
      <c r="D25" s="240"/>
      <c r="E25" s="241">
        <f t="shared" si="0"/>
        <v>15000</v>
      </c>
      <c r="F25" s="240">
        <v>15000</v>
      </c>
      <c r="G25" s="65">
        <v>20000</v>
      </c>
    </row>
    <row r="26" spans="1:8" x14ac:dyDescent="0.25">
      <c r="A26" s="72" t="s">
        <v>47</v>
      </c>
      <c r="B26" s="52">
        <v>50102150</v>
      </c>
      <c r="C26" s="208">
        <v>15000</v>
      </c>
      <c r="D26" s="240"/>
      <c r="E26" s="241">
        <f t="shared" si="0"/>
        <v>15000</v>
      </c>
      <c r="F26" s="240">
        <v>15000</v>
      </c>
      <c r="G26" s="65">
        <v>20000</v>
      </c>
    </row>
    <row r="27" spans="1:8" x14ac:dyDescent="0.25">
      <c r="A27" s="72" t="s">
        <v>46</v>
      </c>
      <c r="B27" s="52">
        <v>50102140</v>
      </c>
      <c r="C27" s="208">
        <v>72441</v>
      </c>
      <c r="D27" s="240"/>
      <c r="E27" s="241">
        <f t="shared" si="0"/>
        <v>72528</v>
      </c>
      <c r="F27" s="240">
        <v>72528</v>
      </c>
      <c r="G27" s="65">
        <v>88739</v>
      </c>
    </row>
    <row r="28" spans="1:8" x14ac:dyDescent="0.25">
      <c r="A28" s="72" t="s">
        <v>39</v>
      </c>
      <c r="B28" s="52">
        <v>50102990</v>
      </c>
      <c r="C28" s="208">
        <v>57441</v>
      </c>
      <c r="D28" s="240"/>
      <c r="E28" s="241">
        <f t="shared" si="0"/>
        <v>72528</v>
      </c>
      <c r="F28" s="240">
        <v>72528</v>
      </c>
      <c r="G28" s="65">
        <v>97970</v>
      </c>
    </row>
    <row r="29" spans="1:8" x14ac:dyDescent="0.25">
      <c r="A29" s="72" t="s">
        <v>40</v>
      </c>
      <c r="B29" s="52">
        <v>50103010</v>
      </c>
      <c r="C29" s="208">
        <v>91566.81</v>
      </c>
      <c r="D29" s="240">
        <v>50399.28</v>
      </c>
      <c r="E29" s="241">
        <f t="shared" si="0"/>
        <v>19227.600000000006</v>
      </c>
      <c r="F29" s="240">
        <v>69626.880000000005</v>
      </c>
      <c r="G29" s="65">
        <v>141076.79999999999</v>
      </c>
    </row>
    <row r="30" spans="1:8" x14ac:dyDescent="0.25">
      <c r="A30" s="72" t="s">
        <v>41</v>
      </c>
      <c r="B30" s="52">
        <v>50103020</v>
      </c>
      <c r="C30" s="208">
        <v>3600</v>
      </c>
      <c r="D30" s="240">
        <v>1800</v>
      </c>
      <c r="E30" s="241">
        <f t="shared" si="0"/>
        <v>600</v>
      </c>
      <c r="F30" s="240">
        <v>2400</v>
      </c>
      <c r="G30" s="65">
        <v>4800</v>
      </c>
    </row>
    <row r="31" spans="1:8" x14ac:dyDescent="0.25">
      <c r="A31" s="72" t="s">
        <v>42</v>
      </c>
      <c r="B31" s="52">
        <v>50103030</v>
      </c>
      <c r="C31" s="208">
        <v>7950</v>
      </c>
      <c r="D31" s="240">
        <v>6625</v>
      </c>
      <c r="E31" s="241">
        <f t="shared" si="0"/>
        <v>1325</v>
      </c>
      <c r="F31" s="240">
        <v>7950</v>
      </c>
      <c r="G31" s="65">
        <v>9150</v>
      </c>
    </row>
    <row r="32" spans="1:8" x14ac:dyDescent="0.25">
      <c r="A32" s="72" t="s">
        <v>43</v>
      </c>
      <c r="B32" s="52">
        <v>50103040</v>
      </c>
      <c r="C32" s="208">
        <v>3426.47</v>
      </c>
      <c r="D32" s="240">
        <v>1728.04</v>
      </c>
      <c r="E32" s="241">
        <f t="shared" si="0"/>
        <v>578.48</v>
      </c>
      <c r="F32" s="240">
        <v>2306.52</v>
      </c>
      <c r="G32" s="65">
        <v>11756.4</v>
      </c>
    </row>
    <row r="33" spans="1:7" x14ac:dyDescent="0.25">
      <c r="A33" s="72" t="s">
        <v>44</v>
      </c>
      <c r="B33" s="52">
        <v>50104990</v>
      </c>
      <c r="C33" s="208">
        <f>99306.17+30000</f>
        <v>129306.17</v>
      </c>
      <c r="D33" s="240"/>
      <c r="E33" s="241">
        <f t="shared" si="0"/>
        <v>18702.61</v>
      </c>
      <c r="F33" s="240">
        <v>18702.61</v>
      </c>
      <c r="G33" s="65">
        <v>78390.25</v>
      </c>
    </row>
    <row r="34" spans="1:7" x14ac:dyDescent="0.25">
      <c r="A34" s="72" t="s">
        <v>45</v>
      </c>
      <c r="B34" s="52">
        <v>50102990</v>
      </c>
      <c r="C34" s="208">
        <v>15000</v>
      </c>
      <c r="D34" s="240"/>
      <c r="E34" s="241">
        <f t="shared" si="0"/>
        <v>15000</v>
      </c>
      <c r="F34" s="240">
        <v>15000</v>
      </c>
      <c r="G34" s="65">
        <v>20000</v>
      </c>
    </row>
    <row r="35" spans="1:7" ht="17.25" customHeight="1" x14ac:dyDescent="0.25">
      <c r="A35" s="27" t="s">
        <v>58</v>
      </c>
      <c r="B35" s="62"/>
      <c r="C35" s="63">
        <f>SUM(C17:C34)</f>
        <v>1400023.45</v>
      </c>
      <c r="D35" s="63">
        <f>SUM(D17:D34)</f>
        <v>772002.32000000007</v>
      </c>
      <c r="E35" s="63">
        <f>SUM(E17:E34)</f>
        <v>537719.68999999994</v>
      </c>
      <c r="F35" s="63">
        <f>SUM(F17:F34)</f>
        <v>1309722.01</v>
      </c>
      <c r="G35" s="63">
        <f>SUM(G18:G34)</f>
        <v>1998522.45</v>
      </c>
    </row>
    <row r="36" spans="1:7" x14ac:dyDescent="0.25">
      <c r="A36" s="24" t="s">
        <v>14</v>
      </c>
      <c r="B36" s="23"/>
      <c r="C36" s="23"/>
      <c r="D36" s="23"/>
      <c r="E36" s="23"/>
      <c r="F36" s="23"/>
      <c r="G36" s="23"/>
    </row>
    <row r="37" spans="1:7" x14ac:dyDescent="0.25">
      <c r="A37" s="54" t="s">
        <v>17</v>
      </c>
      <c r="B37" s="29">
        <v>50203010</v>
      </c>
      <c r="C37" s="14">
        <v>49928.01</v>
      </c>
      <c r="D37" s="14">
        <v>28726.68</v>
      </c>
      <c r="E37" s="64">
        <f>F37-D37</f>
        <v>24312.29</v>
      </c>
      <c r="F37" s="64">
        <v>53038.97</v>
      </c>
      <c r="G37" s="9">
        <v>80000</v>
      </c>
    </row>
    <row r="38" spans="1:7" x14ac:dyDescent="0.25">
      <c r="A38" s="54" t="s">
        <v>158</v>
      </c>
      <c r="B38" s="29">
        <v>50201010</v>
      </c>
      <c r="C38" s="14">
        <v>25355</v>
      </c>
      <c r="D38" s="14">
        <v>29480</v>
      </c>
      <c r="E38" s="64">
        <f>F38-D38</f>
        <v>10626.050000000003</v>
      </c>
      <c r="F38" s="64">
        <v>40106.050000000003</v>
      </c>
      <c r="G38" s="9">
        <v>40000</v>
      </c>
    </row>
    <row r="39" spans="1:7" x14ac:dyDescent="0.25">
      <c r="A39" s="54" t="s">
        <v>27</v>
      </c>
      <c r="B39" s="31">
        <v>50202010</v>
      </c>
      <c r="C39" s="14">
        <v>22276</v>
      </c>
      <c r="D39" s="14">
        <v>3060</v>
      </c>
      <c r="E39" s="64">
        <f>F39-D39</f>
        <v>0</v>
      </c>
      <c r="F39" s="64">
        <v>3060</v>
      </c>
      <c r="G39" s="33">
        <v>47000</v>
      </c>
    </row>
    <row r="40" spans="1:7" x14ac:dyDescent="0.25">
      <c r="A40" s="54" t="s">
        <v>29</v>
      </c>
      <c r="B40" s="31">
        <v>50205020</v>
      </c>
      <c r="C40" s="14">
        <v>1950</v>
      </c>
      <c r="D40" s="14"/>
      <c r="E40" s="64"/>
      <c r="F40" s="64"/>
      <c r="G40" s="33">
        <v>18000</v>
      </c>
    </row>
    <row r="41" spans="1:7" x14ac:dyDescent="0.25">
      <c r="A41" s="54" t="s">
        <v>163</v>
      </c>
      <c r="B41" s="31">
        <v>5021990</v>
      </c>
      <c r="C41" s="14">
        <v>373040</v>
      </c>
      <c r="D41" s="14">
        <v>85650</v>
      </c>
      <c r="E41" s="64">
        <f>F41-D41</f>
        <v>233330</v>
      </c>
      <c r="F41" s="64">
        <v>318980</v>
      </c>
      <c r="G41" s="33">
        <v>250000</v>
      </c>
    </row>
    <row r="42" spans="1:7" x14ac:dyDescent="0.25">
      <c r="A42" s="54" t="s">
        <v>31</v>
      </c>
      <c r="B42" s="31">
        <v>50213990</v>
      </c>
      <c r="C42" s="14">
        <v>24758.5</v>
      </c>
      <c r="D42" s="14">
        <v>700</v>
      </c>
      <c r="E42" s="64">
        <f>F42-D42</f>
        <v>0</v>
      </c>
      <c r="F42" s="64">
        <v>700</v>
      </c>
      <c r="G42" s="33">
        <v>20000</v>
      </c>
    </row>
    <row r="43" spans="1:7" x14ac:dyDescent="0.25">
      <c r="A43" s="54" t="s">
        <v>160</v>
      </c>
      <c r="B43" s="31"/>
      <c r="C43" s="14">
        <v>3512.56</v>
      </c>
      <c r="D43" s="14"/>
      <c r="E43" s="64"/>
      <c r="F43" s="64"/>
      <c r="G43" s="33">
        <v>20000</v>
      </c>
    </row>
    <row r="44" spans="1:7" x14ac:dyDescent="0.25">
      <c r="A44" s="54" t="s">
        <v>164</v>
      </c>
      <c r="B44" s="38">
        <v>50203090</v>
      </c>
      <c r="C44" s="14"/>
      <c r="D44" s="14"/>
      <c r="E44" s="64"/>
      <c r="F44" s="64">
        <f t="shared" ref="F44" si="1">G44-E44</f>
        <v>0</v>
      </c>
      <c r="G44" s="33"/>
    </row>
    <row r="45" spans="1:7" x14ac:dyDescent="0.25">
      <c r="A45" s="54" t="s">
        <v>201</v>
      </c>
      <c r="B45" s="38"/>
      <c r="C45" s="14"/>
      <c r="D45" s="14">
        <v>14850</v>
      </c>
      <c r="E45" s="64">
        <f>F45-D45</f>
        <v>0</v>
      </c>
      <c r="F45" s="64">
        <v>14850</v>
      </c>
      <c r="G45" s="33">
        <v>52000</v>
      </c>
    </row>
    <row r="46" spans="1:7" x14ac:dyDescent="0.25">
      <c r="A46" s="54"/>
      <c r="B46" s="38"/>
      <c r="C46" s="14"/>
      <c r="D46" s="14"/>
      <c r="E46" s="64"/>
      <c r="F46" s="64"/>
      <c r="G46" s="33"/>
    </row>
    <row r="47" spans="1:7" x14ac:dyDescent="0.25">
      <c r="A47" s="54"/>
      <c r="B47" s="38"/>
      <c r="C47" s="14"/>
      <c r="D47" s="14"/>
      <c r="E47" s="64"/>
      <c r="F47" s="64"/>
      <c r="G47" s="33"/>
    </row>
    <row r="48" spans="1:7" x14ac:dyDescent="0.25">
      <c r="A48" s="54"/>
      <c r="B48" s="38"/>
      <c r="C48" s="14"/>
      <c r="D48" s="14"/>
      <c r="E48" s="64"/>
      <c r="F48" s="14"/>
      <c r="G48" s="33"/>
    </row>
    <row r="49" spans="1:9" ht="13.5" customHeight="1" x14ac:dyDescent="0.25">
      <c r="A49" s="39" t="s">
        <v>24</v>
      </c>
      <c r="B49" s="127"/>
      <c r="C49" s="71">
        <f>SUM(C37:C45)</f>
        <v>500820.07</v>
      </c>
      <c r="D49" s="71">
        <f>SUM(D37:D45)</f>
        <v>162466.68</v>
      </c>
      <c r="E49" s="71">
        <f>SUM(E37:E48)</f>
        <v>268268.34000000003</v>
      </c>
      <c r="F49" s="71">
        <f>SUM(F37:F45)</f>
        <v>430735.02</v>
      </c>
      <c r="G49" s="71">
        <f>SUM(G37:G48)</f>
        <v>527000</v>
      </c>
    </row>
    <row r="50" spans="1:9" ht="14.25" customHeight="1" x14ac:dyDescent="0.25">
      <c r="A50" s="24" t="s">
        <v>13</v>
      </c>
      <c r="B50" s="50"/>
      <c r="C50" s="23"/>
      <c r="D50" s="23"/>
      <c r="E50" s="23"/>
      <c r="F50" s="23"/>
      <c r="G50" s="10"/>
    </row>
    <row r="51" spans="1:9" ht="16.5" customHeight="1" x14ac:dyDescent="0.25">
      <c r="A51" s="54" t="s">
        <v>202</v>
      </c>
      <c r="B51" s="50"/>
      <c r="C51" s="14">
        <v>29200</v>
      </c>
      <c r="D51" s="23"/>
      <c r="E51" s="23"/>
      <c r="F51" s="14"/>
      <c r="G51" s="10">
        <v>182000</v>
      </c>
    </row>
    <row r="52" spans="1:9" ht="16.5" customHeight="1" x14ac:dyDescent="0.25">
      <c r="A52" s="54" t="s">
        <v>246</v>
      </c>
      <c r="B52" s="50"/>
      <c r="C52" s="14"/>
      <c r="D52" s="23"/>
      <c r="E52" s="23"/>
      <c r="F52" s="14"/>
      <c r="G52" s="10">
        <v>100000</v>
      </c>
    </row>
    <row r="53" spans="1:9" ht="16.5" customHeight="1" x14ac:dyDescent="0.25">
      <c r="A53" s="54" t="s">
        <v>200</v>
      </c>
      <c r="B53" s="50"/>
      <c r="C53" s="64"/>
      <c r="D53" s="23"/>
      <c r="E53" s="23"/>
      <c r="F53" s="23"/>
      <c r="G53" s="10">
        <v>100000</v>
      </c>
    </row>
    <row r="54" spans="1:9" ht="18" customHeight="1" x14ac:dyDescent="0.25">
      <c r="A54" s="54" t="s">
        <v>203</v>
      </c>
      <c r="B54" s="50"/>
      <c r="C54" s="64"/>
      <c r="D54" s="64">
        <v>144439</v>
      </c>
      <c r="F54" s="64">
        <v>143569</v>
      </c>
      <c r="G54" s="10">
        <v>250000</v>
      </c>
    </row>
    <row r="55" spans="1:9" x14ac:dyDescent="0.25">
      <c r="A55" s="27" t="s">
        <v>64</v>
      </c>
      <c r="B55" s="26"/>
      <c r="C55" s="27">
        <f>SUM(C51:C54)</f>
        <v>29200</v>
      </c>
      <c r="D55" s="27">
        <f t="shared" ref="D55:G55" si="2">SUM(D51:D54)</f>
        <v>144439</v>
      </c>
      <c r="E55" s="27">
        <f t="shared" si="2"/>
        <v>0</v>
      </c>
      <c r="F55" s="27">
        <f>SUM(F54)</f>
        <v>143569</v>
      </c>
      <c r="G55" s="27">
        <f t="shared" si="2"/>
        <v>632000</v>
      </c>
      <c r="I55" s="35"/>
    </row>
    <row r="56" spans="1:9" x14ac:dyDescent="0.25">
      <c r="A56" s="69" t="s">
        <v>61</v>
      </c>
      <c r="B56" s="66"/>
      <c r="C56" s="27">
        <f>C35+C55+C49</f>
        <v>1930043.52</v>
      </c>
      <c r="D56" s="27">
        <f>D35+D55+D49</f>
        <v>1078908</v>
      </c>
      <c r="E56" s="27">
        <f>E35+E55+E49</f>
        <v>805988.03</v>
      </c>
      <c r="F56" s="27">
        <f>F35+F55+F49</f>
        <v>1884026.03</v>
      </c>
      <c r="G56" s="27">
        <f>G35+G55+G49</f>
        <v>3157522.45</v>
      </c>
    </row>
    <row r="58" spans="1:9" ht="35.25" customHeight="1" x14ac:dyDescent="0.35">
      <c r="A58" s="152" t="s">
        <v>68</v>
      </c>
      <c r="B58" s="154" t="s">
        <v>69</v>
      </c>
      <c r="C58" s="154"/>
      <c r="D58" s="154"/>
      <c r="E58" s="154" t="s">
        <v>316</v>
      </c>
      <c r="F58" s="154"/>
      <c r="G58" s="152"/>
    </row>
    <row r="59" spans="1:9" ht="33" customHeight="1" x14ac:dyDescent="0.35">
      <c r="A59" s="152"/>
      <c r="B59" s="154"/>
      <c r="C59" s="154"/>
      <c r="D59" s="154"/>
      <c r="E59" s="154"/>
      <c r="F59" s="154"/>
      <c r="G59" s="152"/>
    </row>
    <row r="60" spans="1:9" ht="21" x14ac:dyDescent="0.35">
      <c r="A60" s="153" t="s">
        <v>199</v>
      </c>
      <c r="B60" s="155" t="s">
        <v>157</v>
      </c>
      <c r="C60" s="154"/>
      <c r="D60" s="154"/>
      <c r="E60" s="180" t="s">
        <v>167</v>
      </c>
      <c r="F60" s="181"/>
      <c r="G60" s="182"/>
    </row>
    <row r="61" spans="1:9" ht="21" x14ac:dyDescent="0.35">
      <c r="A61" s="152" t="s">
        <v>264</v>
      </c>
      <c r="B61" s="154" t="s">
        <v>257</v>
      </c>
      <c r="C61" s="154"/>
      <c r="D61" s="154"/>
      <c r="E61" s="181" t="s">
        <v>63</v>
      </c>
      <c r="F61" s="181"/>
      <c r="G61" s="182"/>
    </row>
    <row r="62" spans="1:9" ht="21" x14ac:dyDescent="0.35">
      <c r="A62" s="152"/>
      <c r="B62" s="152"/>
      <c r="C62" s="152"/>
      <c r="D62" s="152"/>
      <c r="E62" s="152"/>
      <c r="F62" s="152"/>
      <c r="G62" s="152"/>
    </row>
    <row r="63" spans="1:9" ht="21" x14ac:dyDescent="0.35">
      <c r="A63" s="152"/>
      <c r="B63" s="152"/>
      <c r="C63" s="152"/>
      <c r="D63" s="152"/>
      <c r="E63" s="152"/>
      <c r="F63" s="152"/>
      <c r="G63" s="152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7"/>
  <sheetViews>
    <sheetView topLeftCell="A45" workbookViewId="0">
      <selection activeCell="A57" sqref="A57"/>
    </sheetView>
  </sheetViews>
  <sheetFormatPr defaultRowHeight="15" x14ac:dyDescent="0.25"/>
  <cols>
    <col min="1" max="1" width="46.42578125" style="16" customWidth="1"/>
    <col min="2" max="2" width="10.140625" style="16" customWidth="1"/>
    <col min="3" max="3" width="13.28515625" style="16" bestFit="1" customWidth="1"/>
    <col min="4" max="4" width="13.85546875" style="16" bestFit="1" customWidth="1"/>
    <col min="5" max="5" width="13.85546875" style="16" customWidth="1"/>
    <col min="6" max="6" width="15.140625" style="16" customWidth="1"/>
    <col min="7" max="7" width="14.28515625" style="16" bestFit="1" customWidth="1"/>
    <col min="8" max="8" width="39.5703125" style="16" customWidth="1"/>
    <col min="9" max="9" width="11.7109375" style="16" customWidth="1"/>
    <col min="10" max="16384" width="9.140625" style="16"/>
  </cols>
  <sheetData>
    <row r="1" spans="1:7" x14ac:dyDescent="0.25">
      <c r="A1" s="16" t="s">
        <v>9</v>
      </c>
      <c r="G1" s="16" t="s">
        <v>96</v>
      </c>
    </row>
    <row r="2" spans="1:7" ht="6.75" customHeight="1" x14ac:dyDescent="0.25"/>
    <row r="3" spans="1:7" ht="21" x14ac:dyDescent="0.35">
      <c r="A3" s="602" t="s">
        <v>10</v>
      </c>
      <c r="B3" s="602"/>
      <c r="C3" s="602"/>
      <c r="D3" s="602"/>
      <c r="E3" s="602"/>
      <c r="F3" s="602"/>
      <c r="G3" s="602"/>
    </row>
    <row r="4" spans="1:7" ht="21" x14ac:dyDescent="0.35">
      <c r="A4" s="602" t="s">
        <v>127</v>
      </c>
      <c r="B4" s="602"/>
      <c r="C4" s="602"/>
      <c r="D4" s="602"/>
      <c r="E4" s="602"/>
      <c r="F4" s="602"/>
      <c r="G4" s="602"/>
    </row>
    <row r="5" spans="1:7" ht="3" customHeight="1" x14ac:dyDescent="0.35">
      <c r="A5" s="153"/>
      <c r="B5" s="152"/>
      <c r="C5" s="152"/>
      <c r="D5" s="152"/>
      <c r="E5" s="152"/>
      <c r="F5" s="152"/>
      <c r="G5" s="152"/>
    </row>
    <row r="6" spans="1:7" ht="27" customHeight="1" x14ac:dyDescent="0.35">
      <c r="A6" s="153" t="s">
        <v>204</v>
      </c>
      <c r="B6" s="152"/>
      <c r="C6" s="152"/>
      <c r="D6" s="152"/>
      <c r="E6" s="152"/>
      <c r="F6" s="152"/>
      <c r="G6" s="152"/>
    </row>
    <row r="7" spans="1:7" ht="21" x14ac:dyDescent="0.35">
      <c r="A7" s="152" t="s">
        <v>205</v>
      </c>
      <c r="B7" s="152"/>
      <c r="C7" s="152"/>
      <c r="D7" s="152"/>
      <c r="E7" s="152"/>
      <c r="F7" s="152"/>
      <c r="G7" s="152"/>
    </row>
    <row r="8" spans="1:7" ht="21" x14ac:dyDescent="0.35">
      <c r="A8" s="152" t="s">
        <v>85</v>
      </c>
      <c r="B8" s="152"/>
      <c r="C8" s="152"/>
      <c r="D8" s="152"/>
      <c r="E8" s="152"/>
      <c r="F8" s="152"/>
      <c r="G8" s="152"/>
    </row>
    <row r="9" spans="1:7" ht="3.75" customHeight="1" x14ac:dyDescent="0.25"/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4" customHeight="1" x14ac:dyDescent="0.25">
      <c r="A11" s="597"/>
      <c r="B11" s="599"/>
      <c r="C11" s="18" t="s">
        <v>4</v>
      </c>
      <c r="D11" s="174" t="s">
        <v>120</v>
      </c>
      <c r="E11" s="174" t="s">
        <v>119</v>
      </c>
      <c r="F11" s="17" t="s">
        <v>5</v>
      </c>
      <c r="G11" s="18" t="s">
        <v>6</v>
      </c>
    </row>
    <row r="12" spans="1:7" x14ac:dyDescent="0.25">
      <c r="A12" s="173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173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ht="6.75" customHeight="1" x14ac:dyDescent="0.25">
      <c r="A15" s="172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18"/>
      <c r="G16" s="18"/>
    </row>
    <row r="17" spans="1:7" hidden="1" x14ac:dyDescent="0.25">
      <c r="A17" s="54" t="s">
        <v>57</v>
      </c>
      <c r="B17" s="18"/>
      <c r="C17" s="18"/>
      <c r="D17" s="18"/>
      <c r="E17" s="18"/>
      <c r="F17" s="18"/>
      <c r="G17" s="43"/>
    </row>
    <row r="18" spans="1:7" x14ac:dyDescent="0.25">
      <c r="A18" s="54" t="s">
        <v>94</v>
      </c>
      <c r="B18" s="38">
        <v>50101010</v>
      </c>
      <c r="C18" s="76"/>
      <c r="D18" s="76"/>
      <c r="E18" s="241">
        <f>F18-D18</f>
        <v>4929.2</v>
      </c>
      <c r="F18" s="240">
        <v>4929.2</v>
      </c>
      <c r="G18" s="65">
        <v>659688</v>
      </c>
    </row>
    <row r="19" spans="1:7" hidden="1" x14ac:dyDescent="0.25">
      <c r="A19" s="54" t="s">
        <v>94</v>
      </c>
      <c r="B19" s="18"/>
      <c r="C19" s="76"/>
      <c r="D19" s="76"/>
      <c r="E19" s="241">
        <f t="shared" ref="E19:E34" si="0">F19-D19</f>
        <v>0</v>
      </c>
      <c r="F19" s="240"/>
      <c r="G19" s="43"/>
    </row>
    <row r="20" spans="1:7" hidden="1" x14ac:dyDescent="0.25">
      <c r="A20" s="54" t="s">
        <v>94</v>
      </c>
      <c r="B20" s="18"/>
      <c r="C20" s="76"/>
      <c r="D20" s="76"/>
      <c r="E20" s="241">
        <f t="shared" si="0"/>
        <v>0</v>
      </c>
      <c r="F20" s="240"/>
      <c r="G20" s="43"/>
    </row>
    <row r="21" spans="1:7" x14ac:dyDescent="0.25">
      <c r="A21" s="54" t="s">
        <v>159</v>
      </c>
      <c r="B21" s="18"/>
      <c r="C21" s="76"/>
      <c r="D21" s="76"/>
      <c r="E21" s="241"/>
      <c r="F21" s="240"/>
      <c r="G21" s="76"/>
    </row>
    <row r="22" spans="1:7" x14ac:dyDescent="0.25">
      <c r="A22" s="72" t="s">
        <v>52</v>
      </c>
      <c r="B22" s="52">
        <v>50102010</v>
      </c>
      <c r="C22" s="76"/>
      <c r="D22" s="76"/>
      <c r="E22" s="241">
        <f t="shared" si="0"/>
        <v>0</v>
      </c>
      <c r="F22" s="240"/>
      <c r="G22" s="65">
        <v>24000</v>
      </c>
    </row>
    <row r="23" spans="1:7" x14ac:dyDescent="0.25">
      <c r="A23" s="72" t="s">
        <v>51</v>
      </c>
      <c r="B23" s="52">
        <v>50102020</v>
      </c>
      <c r="C23" s="76"/>
      <c r="D23" s="76"/>
      <c r="E23" s="241">
        <f t="shared" si="0"/>
        <v>0</v>
      </c>
      <c r="F23" s="240"/>
      <c r="G23" s="65">
        <v>55500</v>
      </c>
    </row>
    <row r="24" spans="1:7" x14ac:dyDescent="0.25">
      <c r="A24" s="72" t="s">
        <v>48</v>
      </c>
      <c r="B24" s="52">
        <v>50102030</v>
      </c>
      <c r="C24" s="76"/>
      <c r="D24" s="76"/>
      <c r="E24" s="241">
        <f t="shared" si="0"/>
        <v>0</v>
      </c>
      <c r="F24" s="240"/>
      <c r="G24" s="65">
        <v>55500</v>
      </c>
    </row>
    <row r="25" spans="1:7" x14ac:dyDescent="0.25">
      <c r="A25" s="72" t="s">
        <v>49</v>
      </c>
      <c r="B25" s="52">
        <v>50102040</v>
      </c>
      <c r="C25" s="76"/>
      <c r="D25" s="76"/>
      <c r="E25" s="241">
        <f t="shared" si="0"/>
        <v>0</v>
      </c>
      <c r="F25" s="240"/>
      <c r="G25" s="65">
        <v>5000</v>
      </c>
    </row>
    <row r="26" spans="1:7" x14ac:dyDescent="0.25">
      <c r="A26" s="72" t="s">
        <v>47</v>
      </c>
      <c r="B26" s="52">
        <v>50102150</v>
      </c>
      <c r="C26" s="76"/>
      <c r="D26" s="76"/>
      <c r="E26" s="241">
        <f t="shared" si="0"/>
        <v>0</v>
      </c>
      <c r="F26" s="240"/>
      <c r="G26" s="65">
        <v>5000</v>
      </c>
    </row>
    <row r="27" spans="1:7" x14ac:dyDescent="0.25">
      <c r="A27" s="72" t="s">
        <v>46</v>
      </c>
      <c r="B27" s="52">
        <v>50102140</v>
      </c>
      <c r="C27" s="76"/>
      <c r="D27" s="76"/>
      <c r="E27" s="241">
        <f t="shared" si="0"/>
        <v>0</v>
      </c>
      <c r="F27" s="240"/>
      <c r="G27" s="65">
        <v>54974</v>
      </c>
    </row>
    <row r="28" spans="1:7" x14ac:dyDescent="0.25">
      <c r="A28" s="72" t="s">
        <v>39</v>
      </c>
      <c r="B28" s="52">
        <v>50102990</v>
      </c>
      <c r="C28" s="76"/>
      <c r="D28" s="76"/>
      <c r="E28" s="241">
        <f t="shared" si="0"/>
        <v>0</v>
      </c>
      <c r="F28" s="240"/>
      <c r="G28" s="65">
        <v>54974</v>
      </c>
    </row>
    <row r="29" spans="1:7" x14ac:dyDescent="0.25">
      <c r="A29" s="72" t="s">
        <v>40</v>
      </c>
      <c r="B29" s="52">
        <v>50103010</v>
      </c>
      <c r="C29" s="76"/>
      <c r="D29" s="76"/>
      <c r="E29" s="241">
        <f t="shared" si="0"/>
        <v>3101.76</v>
      </c>
      <c r="F29" s="240">
        <v>3101.76</v>
      </c>
      <c r="G29" s="65">
        <v>79162.559999999998</v>
      </c>
    </row>
    <row r="30" spans="1:7" x14ac:dyDescent="0.25">
      <c r="A30" s="72" t="s">
        <v>41</v>
      </c>
      <c r="B30" s="52">
        <v>50103020</v>
      </c>
      <c r="C30" s="76"/>
      <c r="D30" s="76"/>
      <c r="E30" s="241">
        <f t="shared" si="0"/>
        <v>0</v>
      </c>
      <c r="F30" s="240"/>
      <c r="G30" s="65">
        <v>1200</v>
      </c>
    </row>
    <row r="31" spans="1:7" x14ac:dyDescent="0.25">
      <c r="A31" s="72" t="s">
        <v>42</v>
      </c>
      <c r="B31" s="52">
        <v>50103030</v>
      </c>
      <c r="C31" s="76"/>
      <c r="D31" s="76"/>
      <c r="E31" s="241">
        <f t="shared" si="0"/>
        <v>275</v>
      </c>
      <c r="F31" s="240">
        <v>275</v>
      </c>
      <c r="G31" s="65">
        <v>5250</v>
      </c>
    </row>
    <row r="32" spans="1:7" x14ac:dyDescent="0.25">
      <c r="A32" s="72" t="s">
        <v>43</v>
      </c>
      <c r="B32" s="52">
        <v>50103040</v>
      </c>
      <c r="C32" s="76"/>
      <c r="D32" s="76"/>
      <c r="E32" s="241">
        <f t="shared" si="0"/>
        <v>0</v>
      </c>
      <c r="F32" s="240"/>
      <c r="G32" s="65">
        <v>6596.88</v>
      </c>
    </row>
    <row r="33" spans="1:7" x14ac:dyDescent="0.25">
      <c r="A33" s="72" t="s">
        <v>44</v>
      </c>
      <c r="B33" s="52">
        <v>50104990</v>
      </c>
      <c r="C33" s="76"/>
      <c r="D33" s="76"/>
      <c r="E33" s="241">
        <f t="shared" si="0"/>
        <v>0</v>
      </c>
      <c r="F33" s="240"/>
      <c r="G33" s="65">
        <v>52986.91</v>
      </c>
    </row>
    <row r="34" spans="1:7" x14ac:dyDescent="0.25">
      <c r="A34" s="72" t="s">
        <v>45</v>
      </c>
      <c r="B34" s="52">
        <v>50102990</v>
      </c>
      <c r="C34" s="76"/>
      <c r="D34" s="76"/>
      <c r="E34" s="241">
        <f t="shared" si="0"/>
        <v>0</v>
      </c>
      <c r="F34" s="240"/>
      <c r="G34" s="65">
        <v>5000</v>
      </c>
    </row>
    <row r="35" spans="1:7" ht="17.25" customHeight="1" x14ac:dyDescent="0.25">
      <c r="A35" s="27" t="s">
        <v>58</v>
      </c>
      <c r="B35" s="62"/>
      <c r="C35" s="63">
        <f>SUM(C17:C34)</f>
        <v>0</v>
      </c>
      <c r="D35" s="63">
        <f>SUM(D17:D34)</f>
        <v>0</v>
      </c>
      <c r="E35" s="63">
        <f>SUM(E17:E34)</f>
        <v>8305.9599999999991</v>
      </c>
      <c r="F35" s="63">
        <f>SUM(F17:F34)</f>
        <v>8305.9599999999991</v>
      </c>
      <c r="G35" s="63">
        <f>SUM(G17:G34)</f>
        <v>1064832.3500000001</v>
      </c>
    </row>
    <row r="36" spans="1:7" x14ac:dyDescent="0.25">
      <c r="A36" s="24" t="s">
        <v>14</v>
      </c>
      <c r="B36" s="23"/>
      <c r="C36" s="23"/>
      <c r="D36" s="23"/>
      <c r="E36" s="23"/>
      <c r="F36" s="23"/>
      <c r="G36" s="23"/>
    </row>
    <row r="37" spans="1:7" x14ac:dyDescent="0.25">
      <c r="A37" s="54" t="s">
        <v>17</v>
      </c>
      <c r="B37" s="29">
        <v>50203010</v>
      </c>
      <c r="C37" s="14"/>
      <c r="D37" s="14"/>
      <c r="E37" s="64">
        <f>F37-D37</f>
        <v>0</v>
      </c>
      <c r="F37" s="14"/>
      <c r="G37" s="9">
        <v>20000</v>
      </c>
    </row>
    <row r="38" spans="1:7" x14ac:dyDescent="0.25">
      <c r="A38" s="54" t="s">
        <v>158</v>
      </c>
      <c r="B38" s="29">
        <v>50201010</v>
      </c>
      <c r="C38" s="14"/>
      <c r="D38" s="14">
        <v>15000</v>
      </c>
      <c r="E38" s="64">
        <f>F38-D38</f>
        <v>14547</v>
      </c>
      <c r="F38" s="64">
        <v>29547</v>
      </c>
      <c r="G38" s="9">
        <v>30000</v>
      </c>
    </row>
    <row r="39" spans="1:7" x14ac:dyDescent="0.25">
      <c r="A39" s="54" t="s">
        <v>27</v>
      </c>
      <c r="B39" s="31">
        <v>50202010</v>
      </c>
      <c r="C39" s="14"/>
      <c r="D39" s="14">
        <v>3260</v>
      </c>
      <c r="E39" s="64">
        <f>F39-D39</f>
        <v>3130</v>
      </c>
      <c r="F39" s="64">
        <v>6390</v>
      </c>
      <c r="G39" s="33">
        <v>12000</v>
      </c>
    </row>
    <row r="40" spans="1:7" x14ac:dyDescent="0.25">
      <c r="A40" s="54" t="s">
        <v>29</v>
      </c>
      <c r="B40" s="31">
        <v>50205020</v>
      </c>
      <c r="C40" s="14"/>
      <c r="D40" s="14"/>
      <c r="E40" s="64"/>
      <c r="F40" s="14"/>
      <c r="G40" s="33">
        <v>18000</v>
      </c>
    </row>
    <row r="41" spans="1:7" x14ac:dyDescent="0.25">
      <c r="A41" s="54" t="s">
        <v>163</v>
      </c>
      <c r="B41" s="31">
        <v>5021990</v>
      </c>
      <c r="C41" s="14"/>
      <c r="D41" s="14"/>
      <c r="E41" s="64"/>
      <c r="F41" s="14"/>
      <c r="G41" s="33"/>
    </row>
    <row r="42" spans="1:7" x14ac:dyDescent="0.25">
      <c r="A42" s="54" t="s">
        <v>31</v>
      </c>
      <c r="B42" s="31">
        <v>50213990</v>
      </c>
      <c r="C42" s="14"/>
      <c r="D42" s="14"/>
      <c r="E42" s="64"/>
      <c r="F42" s="14"/>
      <c r="G42" s="33"/>
    </row>
    <row r="43" spans="1:7" x14ac:dyDescent="0.25">
      <c r="A43" s="54" t="s">
        <v>160</v>
      </c>
      <c r="B43" s="31"/>
      <c r="C43" s="14"/>
      <c r="D43" s="14"/>
      <c r="E43" s="64"/>
      <c r="F43" s="14"/>
      <c r="G43" s="33"/>
    </row>
    <row r="44" spans="1:7" x14ac:dyDescent="0.25">
      <c r="A44" s="54" t="s">
        <v>164</v>
      </c>
      <c r="B44" s="38">
        <v>50203090</v>
      </c>
      <c r="C44" s="14"/>
      <c r="D44" s="14"/>
      <c r="E44" s="64"/>
      <c r="F44" s="14"/>
      <c r="G44" s="33"/>
    </row>
    <row r="45" spans="1:7" x14ac:dyDescent="0.25">
      <c r="A45" s="54" t="s">
        <v>201</v>
      </c>
      <c r="B45" s="38"/>
      <c r="C45" s="14"/>
      <c r="D45" s="14"/>
      <c r="E45" s="64"/>
      <c r="F45" s="14"/>
      <c r="G45" s="33"/>
    </row>
    <row r="46" spans="1:7" ht="13.5" customHeight="1" x14ac:dyDescent="0.25">
      <c r="A46" s="8" t="s">
        <v>24</v>
      </c>
      <c r="B46" s="127"/>
      <c r="C46" s="71">
        <f>SUM(C37:C45)</f>
        <v>0</v>
      </c>
      <c r="D46" s="71">
        <f>SUM(D37:D45)</f>
        <v>18260</v>
      </c>
      <c r="E46" s="71">
        <f>SUM(E38:E45)</f>
        <v>17677</v>
      </c>
      <c r="F46" s="71">
        <f>SUM(F37:F45)</f>
        <v>35937</v>
      </c>
      <c r="G46" s="71">
        <f>SUM(G37:G45)</f>
        <v>80000</v>
      </c>
    </row>
    <row r="47" spans="1:7" ht="14.25" customHeight="1" x14ac:dyDescent="0.25">
      <c r="A47" s="24" t="s">
        <v>13</v>
      </c>
      <c r="B47" s="50"/>
      <c r="C47" s="23"/>
      <c r="D47" s="23"/>
      <c r="E47" s="23"/>
      <c r="F47" s="23"/>
      <c r="G47" s="10"/>
    </row>
    <row r="48" spans="1:7" ht="16.5" customHeight="1" x14ac:dyDescent="0.25">
      <c r="A48" s="54" t="s">
        <v>202</v>
      </c>
      <c r="B48" s="50"/>
      <c r="C48" s="64"/>
      <c r="D48" s="23"/>
      <c r="E48" s="23"/>
      <c r="F48" s="14"/>
      <c r="G48" s="10">
        <v>182000</v>
      </c>
    </row>
    <row r="49" spans="1:9" x14ac:dyDescent="0.25">
      <c r="A49" s="27" t="s">
        <v>64</v>
      </c>
      <c r="B49" s="26"/>
      <c r="C49" s="27">
        <f>SUM(C48:C48)</f>
        <v>0</v>
      </c>
      <c r="D49" s="27">
        <f>SUM(D48:D48)</f>
        <v>0</v>
      </c>
      <c r="E49" s="27">
        <f>SUM(E48:E48)</f>
        <v>0</v>
      </c>
      <c r="F49" s="27">
        <f>SUM(F48:F48)</f>
        <v>0</v>
      </c>
      <c r="G49" s="27">
        <f>SUM(G48:G48)</f>
        <v>182000</v>
      </c>
      <c r="I49" s="35"/>
    </row>
    <row r="50" spans="1:9" x14ac:dyDescent="0.25">
      <c r="A50" s="69" t="s">
        <v>61</v>
      </c>
      <c r="B50" s="66"/>
      <c r="C50" s="27">
        <f>C35+C49+C46</f>
        <v>0</v>
      </c>
      <c r="D50" s="27">
        <f>D35+D49+D46</f>
        <v>18260</v>
      </c>
      <c r="E50" s="27">
        <f>E35+E49+E46</f>
        <v>25982.959999999999</v>
      </c>
      <c r="F50" s="27">
        <f>F35+F49+F46</f>
        <v>44242.96</v>
      </c>
      <c r="G50" s="27">
        <f>G35+G49+G46</f>
        <v>1326832.3500000001</v>
      </c>
      <c r="H50" s="35"/>
    </row>
    <row r="52" spans="1:9" ht="35.25" customHeight="1" x14ac:dyDescent="0.35">
      <c r="A52" s="152" t="s">
        <v>68</v>
      </c>
      <c r="B52" s="154" t="s">
        <v>69</v>
      </c>
      <c r="C52" s="154"/>
      <c r="D52" s="154"/>
      <c r="E52" s="154" t="s">
        <v>316</v>
      </c>
      <c r="F52" s="154"/>
      <c r="G52" s="152"/>
    </row>
    <row r="53" spans="1:9" ht="33" customHeight="1" x14ac:dyDescent="0.35">
      <c r="A53" s="152"/>
      <c r="B53" s="154"/>
      <c r="C53" s="154"/>
      <c r="D53" s="154"/>
      <c r="E53" s="154"/>
      <c r="F53" s="154"/>
      <c r="G53" s="152"/>
    </row>
    <row r="54" spans="1:9" ht="21" x14ac:dyDescent="0.35">
      <c r="A54" s="153" t="s">
        <v>269</v>
      </c>
      <c r="B54" s="155" t="s">
        <v>157</v>
      </c>
      <c r="C54" s="154"/>
      <c r="D54" s="154"/>
      <c r="E54" s="180" t="s">
        <v>167</v>
      </c>
      <c r="F54" s="181"/>
      <c r="G54" s="182"/>
    </row>
    <row r="55" spans="1:9" ht="21" x14ac:dyDescent="0.35">
      <c r="A55" s="152" t="s">
        <v>260</v>
      </c>
      <c r="B55" s="154" t="s">
        <v>265</v>
      </c>
      <c r="C55" s="154"/>
      <c r="D55" s="154"/>
      <c r="E55" s="181" t="s">
        <v>63</v>
      </c>
      <c r="F55" s="181"/>
      <c r="G55" s="182"/>
    </row>
    <row r="56" spans="1:9" ht="21" x14ac:dyDescent="0.35">
      <c r="A56" s="152"/>
      <c r="B56" s="152"/>
      <c r="C56" s="152"/>
      <c r="D56" s="152"/>
      <c r="E56" s="152"/>
      <c r="F56" s="152"/>
      <c r="G56" s="152"/>
    </row>
    <row r="57" spans="1:9" ht="21" x14ac:dyDescent="0.35">
      <c r="A57" s="152"/>
      <c r="B57" s="152"/>
      <c r="C57" s="152"/>
      <c r="D57" s="152"/>
      <c r="E57" s="152"/>
      <c r="F57" s="152"/>
      <c r="G57" s="152"/>
    </row>
  </sheetData>
  <sheetProtection password="CCFC" sheet="1" objects="1" scenarios="1" selectLockedCells="1" selectUnlockedCells="1"/>
  <mergeCells count="5">
    <mergeCell ref="A3:G3"/>
    <mergeCell ref="A4:G4"/>
    <mergeCell ref="A10:A11"/>
    <mergeCell ref="B10:B11"/>
    <mergeCell ref="D10:F10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8"/>
  <sheetViews>
    <sheetView topLeftCell="A45" workbookViewId="0">
      <selection activeCell="A54" sqref="A54"/>
    </sheetView>
  </sheetViews>
  <sheetFormatPr defaultRowHeight="15" x14ac:dyDescent="0.25"/>
  <cols>
    <col min="1" max="1" width="46.42578125" style="16" customWidth="1"/>
    <col min="2" max="2" width="10.140625" style="16" customWidth="1"/>
    <col min="3" max="3" width="13.28515625" style="16" bestFit="1" customWidth="1"/>
    <col min="4" max="4" width="13.85546875" style="16" bestFit="1" customWidth="1"/>
    <col min="5" max="5" width="13.85546875" style="16" customWidth="1"/>
    <col min="6" max="6" width="15.140625" style="16" customWidth="1"/>
    <col min="7" max="7" width="14.28515625" style="16" bestFit="1" customWidth="1"/>
    <col min="8" max="8" width="39.5703125" style="16" customWidth="1"/>
    <col min="9" max="9" width="11.7109375" style="16" customWidth="1"/>
    <col min="10" max="16384" width="9.140625" style="16"/>
  </cols>
  <sheetData>
    <row r="1" spans="1:7" x14ac:dyDescent="0.25">
      <c r="A1" s="16" t="s">
        <v>9</v>
      </c>
      <c r="G1" s="16" t="s">
        <v>96</v>
      </c>
    </row>
    <row r="2" spans="1:7" ht="6.75" customHeight="1" x14ac:dyDescent="0.25"/>
    <row r="3" spans="1:7" ht="21" x14ac:dyDescent="0.35">
      <c r="A3" s="602" t="s">
        <v>10</v>
      </c>
      <c r="B3" s="602"/>
      <c r="C3" s="602"/>
      <c r="D3" s="602"/>
      <c r="E3" s="602"/>
      <c r="F3" s="602"/>
      <c r="G3" s="602"/>
    </row>
    <row r="4" spans="1:7" ht="21" x14ac:dyDescent="0.35">
      <c r="A4" s="602" t="s">
        <v>127</v>
      </c>
      <c r="B4" s="602"/>
      <c r="C4" s="602"/>
      <c r="D4" s="602"/>
      <c r="E4" s="602"/>
      <c r="F4" s="602"/>
      <c r="G4" s="602"/>
    </row>
    <row r="5" spans="1:7" ht="3" customHeight="1" x14ac:dyDescent="0.35">
      <c r="A5" s="153"/>
      <c r="B5" s="152"/>
      <c r="C5" s="152"/>
      <c r="D5" s="152"/>
      <c r="E5" s="152"/>
      <c r="F5" s="152"/>
      <c r="G5" s="152"/>
    </row>
    <row r="6" spans="1:7" ht="27" customHeight="1" x14ac:dyDescent="0.35">
      <c r="A6" s="153" t="s">
        <v>209</v>
      </c>
      <c r="B6" s="152"/>
      <c r="C6" s="152"/>
      <c r="D6" s="152"/>
      <c r="E6" s="152"/>
      <c r="F6" s="152"/>
      <c r="G6" s="152"/>
    </row>
    <row r="7" spans="1:7" ht="21" x14ac:dyDescent="0.35">
      <c r="A7" s="152" t="s">
        <v>211</v>
      </c>
      <c r="B7" s="152"/>
      <c r="C7" s="152"/>
      <c r="D7" s="152"/>
      <c r="E7" s="152"/>
      <c r="F7" s="152"/>
      <c r="G7" s="152"/>
    </row>
    <row r="8" spans="1:7" ht="21" x14ac:dyDescent="0.35">
      <c r="A8" s="152" t="s">
        <v>210</v>
      </c>
      <c r="B8" s="152"/>
      <c r="C8" s="152"/>
      <c r="D8" s="152"/>
      <c r="E8" s="152"/>
      <c r="F8" s="152"/>
      <c r="G8" s="152"/>
    </row>
    <row r="9" spans="1:7" ht="3.75" customHeight="1" x14ac:dyDescent="0.25"/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4" customHeight="1" x14ac:dyDescent="0.25">
      <c r="A11" s="597"/>
      <c r="B11" s="599"/>
      <c r="C11" s="18" t="s">
        <v>4</v>
      </c>
      <c r="D11" s="174" t="s">
        <v>120</v>
      </c>
      <c r="E11" s="174" t="s">
        <v>119</v>
      </c>
      <c r="F11" s="17" t="s">
        <v>5</v>
      </c>
      <c r="G11" s="18" t="s">
        <v>6</v>
      </c>
    </row>
    <row r="12" spans="1:7" x14ac:dyDescent="0.25">
      <c r="A12" s="173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173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ht="6.75" customHeight="1" x14ac:dyDescent="0.25">
      <c r="A15" s="172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234"/>
      <c r="G16" s="18"/>
    </row>
    <row r="17" spans="1:7" hidden="1" x14ac:dyDescent="0.25">
      <c r="A17" s="54" t="s">
        <v>57</v>
      </c>
      <c r="B17" s="18"/>
      <c r="C17" s="18"/>
      <c r="D17" s="18"/>
      <c r="E17" s="18"/>
      <c r="F17" s="18"/>
      <c r="G17" s="43"/>
    </row>
    <row r="18" spans="1:7" x14ac:dyDescent="0.25">
      <c r="A18" s="54" t="s">
        <v>94</v>
      </c>
      <c r="B18" s="38">
        <v>50101010</v>
      </c>
      <c r="C18" s="208">
        <v>174058</v>
      </c>
      <c r="D18" s="240">
        <v>148050</v>
      </c>
      <c r="E18" s="241">
        <f>F18-D18</f>
        <v>30630</v>
      </c>
      <c r="F18" s="240">
        <v>178680</v>
      </c>
      <c r="G18" s="65">
        <v>181608</v>
      </c>
    </row>
    <row r="19" spans="1:7" hidden="1" x14ac:dyDescent="0.25">
      <c r="A19" s="54" t="s">
        <v>94</v>
      </c>
      <c r="B19" s="18"/>
      <c r="C19" s="76"/>
      <c r="D19" s="240"/>
      <c r="E19" s="241">
        <f t="shared" ref="E19:E34" si="0">F19-D19</f>
        <v>0</v>
      </c>
      <c r="F19" s="240"/>
      <c r="G19" s="43"/>
    </row>
    <row r="20" spans="1:7" hidden="1" x14ac:dyDescent="0.25">
      <c r="A20" s="54" t="s">
        <v>94</v>
      </c>
      <c r="B20" s="18"/>
      <c r="C20" s="76"/>
      <c r="D20" s="240"/>
      <c r="E20" s="241">
        <f t="shared" si="0"/>
        <v>0</v>
      </c>
      <c r="F20" s="240"/>
      <c r="G20" s="43"/>
    </row>
    <row r="21" spans="1:7" x14ac:dyDescent="0.25">
      <c r="A21" s="54" t="s">
        <v>159</v>
      </c>
      <c r="B21" s="18"/>
      <c r="C21" s="76"/>
      <c r="D21" s="240"/>
      <c r="E21" s="241">
        <f t="shared" si="0"/>
        <v>29280</v>
      </c>
      <c r="F21" s="240">
        <v>29280</v>
      </c>
      <c r="G21" s="76">
        <v>60000</v>
      </c>
    </row>
    <row r="22" spans="1:7" x14ac:dyDescent="0.25">
      <c r="A22" s="72" t="s">
        <v>52</v>
      </c>
      <c r="B22" s="52">
        <v>50102010</v>
      </c>
      <c r="C22" s="208">
        <v>24000</v>
      </c>
      <c r="D22" s="240">
        <v>20000</v>
      </c>
      <c r="E22" s="241">
        <f t="shared" si="0"/>
        <v>4000</v>
      </c>
      <c r="F22" s="240">
        <v>24000</v>
      </c>
      <c r="G22" s="65">
        <v>24000</v>
      </c>
    </row>
    <row r="23" spans="1:7" x14ac:dyDescent="0.25">
      <c r="A23" s="72" t="s">
        <v>51</v>
      </c>
      <c r="B23" s="52">
        <v>50102020</v>
      </c>
      <c r="C23" s="76"/>
      <c r="D23" s="240"/>
      <c r="E23" s="241">
        <f t="shared" si="0"/>
        <v>0</v>
      </c>
      <c r="F23" s="240"/>
      <c r="G23" s="65"/>
    </row>
    <row r="24" spans="1:7" x14ac:dyDescent="0.25">
      <c r="A24" s="72" t="s">
        <v>48</v>
      </c>
      <c r="B24" s="52">
        <v>50102030</v>
      </c>
      <c r="C24" s="76"/>
      <c r="D24" s="240"/>
      <c r="E24" s="241">
        <f t="shared" si="0"/>
        <v>0</v>
      </c>
      <c r="F24" s="240"/>
      <c r="G24" s="65"/>
    </row>
    <row r="25" spans="1:7" x14ac:dyDescent="0.25">
      <c r="A25" s="72" t="s">
        <v>49</v>
      </c>
      <c r="B25" s="52">
        <v>50102040</v>
      </c>
      <c r="C25" s="208">
        <v>5000</v>
      </c>
      <c r="D25" s="240"/>
      <c r="E25" s="241">
        <f t="shared" si="0"/>
        <v>5000</v>
      </c>
      <c r="F25" s="240">
        <v>5000</v>
      </c>
      <c r="G25" s="65">
        <v>5000</v>
      </c>
    </row>
    <row r="26" spans="1:7" x14ac:dyDescent="0.25">
      <c r="A26" s="72" t="s">
        <v>47</v>
      </c>
      <c r="B26" s="52">
        <v>50102150</v>
      </c>
      <c r="C26" s="208">
        <v>5000</v>
      </c>
      <c r="D26" s="240"/>
      <c r="E26" s="241">
        <f t="shared" si="0"/>
        <v>5000</v>
      </c>
      <c r="F26" s="240">
        <v>5000</v>
      </c>
      <c r="G26" s="65">
        <v>5000</v>
      </c>
    </row>
    <row r="27" spans="1:7" x14ac:dyDescent="0.25">
      <c r="A27" s="72" t="s">
        <v>46</v>
      </c>
      <c r="B27" s="52">
        <v>50102140</v>
      </c>
      <c r="C27" s="208">
        <v>11965</v>
      </c>
      <c r="D27" s="240"/>
      <c r="E27" s="241">
        <f t="shared" si="0"/>
        <v>15065</v>
      </c>
      <c r="F27" s="240">
        <v>15065</v>
      </c>
      <c r="G27" s="65">
        <v>15134</v>
      </c>
    </row>
    <row r="28" spans="1:7" x14ac:dyDescent="0.25">
      <c r="A28" s="72" t="s">
        <v>39</v>
      </c>
      <c r="B28" s="52">
        <v>50102990</v>
      </c>
      <c r="C28" s="208">
        <v>11965</v>
      </c>
      <c r="D28" s="240"/>
      <c r="E28" s="241">
        <f t="shared" si="0"/>
        <v>14715</v>
      </c>
      <c r="F28" s="240">
        <v>14715</v>
      </c>
      <c r="G28" s="65">
        <v>15134</v>
      </c>
    </row>
    <row r="29" spans="1:7" x14ac:dyDescent="0.25">
      <c r="A29" s="72" t="s">
        <v>40</v>
      </c>
      <c r="B29" s="52">
        <v>50103010</v>
      </c>
      <c r="C29" s="208">
        <v>20886.96</v>
      </c>
      <c r="D29" s="240">
        <v>17766</v>
      </c>
      <c r="E29" s="241">
        <f t="shared" si="0"/>
        <v>3102</v>
      </c>
      <c r="F29" s="240">
        <v>20868</v>
      </c>
      <c r="G29" s="65">
        <v>21792.959999999999</v>
      </c>
    </row>
    <row r="30" spans="1:7" x14ac:dyDescent="0.25">
      <c r="A30" s="72" t="s">
        <v>41</v>
      </c>
      <c r="B30" s="52">
        <v>50103020</v>
      </c>
      <c r="C30" s="208">
        <v>1200</v>
      </c>
      <c r="D30" s="240">
        <v>1000</v>
      </c>
      <c r="E30" s="241">
        <f t="shared" si="0"/>
        <v>773.59999999999991</v>
      </c>
      <c r="F30" s="240">
        <v>1773.6</v>
      </c>
      <c r="G30" s="65">
        <v>1200</v>
      </c>
    </row>
    <row r="31" spans="1:7" x14ac:dyDescent="0.25">
      <c r="A31" s="72" t="s">
        <v>42</v>
      </c>
      <c r="B31" s="52">
        <v>50103030</v>
      </c>
      <c r="C31" s="208">
        <v>2125</v>
      </c>
      <c r="D31" s="240">
        <v>1050</v>
      </c>
      <c r="E31" s="241">
        <f t="shared" si="0"/>
        <v>350</v>
      </c>
      <c r="F31" s="240">
        <v>1400</v>
      </c>
      <c r="G31" s="65">
        <v>1200</v>
      </c>
    </row>
    <row r="32" spans="1:7" x14ac:dyDescent="0.25">
      <c r="A32" s="72" t="s">
        <v>43</v>
      </c>
      <c r="B32" s="52">
        <v>50103040</v>
      </c>
      <c r="C32" s="208">
        <v>1200</v>
      </c>
      <c r="D32" s="240">
        <v>600</v>
      </c>
      <c r="E32" s="241">
        <f t="shared" si="0"/>
        <v>518.68000000000006</v>
      </c>
      <c r="F32" s="240">
        <v>1118.68</v>
      </c>
      <c r="G32" s="65">
        <v>1816.08</v>
      </c>
    </row>
    <row r="33" spans="1:7" x14ac:dyDescent="0.25">
      <c r="A33" s="72" t="s">
        <v>44</v>
      </c>
      <c r="B33" s="52">
        <v>50104990</v>
      </c>
      <c r="C33" s="208">
        <f>19367.68+5000</f>
        <v>24367.68</v>
      </c>
      <c r="D33" s="240"/>
      <c r="E33" s="241">
        <f t="shared" si="0"/>
        <v>14183.11</v>
      </c>
      <c r="F33" s="240">
        <v>14183.11</v>
      </c>
      <c r="G33" s="65">
        <v>14586.97</v>
      </c>
    </row>
    <row r="34" spans="1:7" x14ac:dyDescent="0.25">
      <c r="A34" s="72" t="s">
        <v>45</v>
      </c>
      <c r="B34" s="52">
        <v>50102990</v>
      </c>
      <c r="C34" s="208">
        <v>5000</v>
      </c>
      <c r="D34" s="240"/>
      <c r="E34" s="241">
        <f t="shared" si="0"/>
        <v>5000</v>
      </c>
      <c r="F34" s="240">
        <v>5000</v>
      </c>
      <c r="G34" s="65">
        <v>5000</v>
      </c>
    </row>
    <row r="35" spans="1:7" ht="17.25" customHeight="1" x14ac:dyDescent="0.25">
      <c r="A35" s="27" t="s">
        <v>58</v>
      </c>
      <c r="B35" s="62"/>
      <c r="C35" s="63">
        <f>SUM(C17:C34)</f>
        <v>286767.64</v>
      </c>
      <c r="D35" s="63">
        <f>SUM(D17:D34)</f>
        <v>188466</v>
      </c>
      <c r="E35" s="63">
        <f>SUM(E17:E34)</f>
        <v>127617.39</v>
      </c>
      <c r="F35" s="63">
        <f>SUM(F17:F34)</f>
        <v>316083.38999999996</v>
      </c>
      <c r="G35" s="63">
        <f>SUM(G17:G34)</f>
        <v>351472.01</v>
      </c>
    </row>
    <row r="36" spans="1:7" x14ac:dyDescent="0.25">
      <c r="A36" s="24" t="s">
        <v>14</v>
      </c>
      <c r="B36" s="23"/>
      <c r="C36" s="23"/>
      <c r="D36" s="23"/>
      <c r="E36" s="23"/>
      <c r="F36" s="23"/>
      <c r="G36" s="23"/>
    </row>
    <row r="37" spans="1:7" x14ac:dyDescent="0.25">
      <c r="A37" s="54" t="s">
        <v>17</v>
      </c>
      <c r="B37" s="29">
        <v>50203010</v>
      </c>
      <c r="C37" s="14"/>
      <c r="D37" s="14">
        <v>944</v>
      </c>
      <c r="E37" s="64">
        <f>F37-D37</f>
        <v>16223.8</v>
      </c>
      <c r="F37" s="64">
        <v>17167.8</v>
      </c>
      <c r="G37" s="9">
        <v>20000</v>
      </c>
    </row>
    <row r="38" spans="1:7" x14ac:dyDescent="0.25">
      <c r="A38" s="54" t="s">
        <v>158</v>
      </c>
      <c r="B38" s="29">
        <v>50201010</v>
      </c>
      <c r="C38" s="14">
        <v>16115</v>
      </c>
      <c r="D38" s="14">
        <v>5560</v>
      </c>
      <c r="E38" s="64">
        <f>F38-D38</f>
        <v>16279</v>
      </c>
      <c r="F38" s="64">
        <v>21839</v>
      </c>
      <c r="G38" s="9">
        <v>22000</v>
      </c>
    </row>
    <row r="39" spans="1:7" x14ac:dyDescent="0.25">
      <c r="A39" s="54" t="s">
        <v>27</v>
      </c>
      <c r="B39" s="31">
        <v>50202010</v>
      </c>
      <c r="C39" s="14"/>
      <c r="D39" s="14"/>
      <c r="E39" s="64"/>
      <c r="F39" s="64"/>
      <c r="G39" s="33"/>
    </row>
    <row r="40" spans="1:7" x14ac:dyDescent="0.25">
      <c r="A40" s="54" t="s">
        <v>29</v>
      </c>
      <c r="B40" s="31">
        <v>50205020</v>
      </c>
      <c r="C40" s="14"/>
      <c r="D40" s="14">
        <v>2999.98</v>
      </c>
      <c r="E40" s="64">
        <f>F40-D40</f>
        <v>10598.93</v>
      </c>
      <c r="F40" s="64">
        <v>13598.91</v>
      </c>
      <c r="G40" s="33">
        <v>38000</v>
      </c>
    </row>
    <row r="41" spans="1:7" x14ac:dyDescent="0.25">
      <c r="A41" s="54" t="s">
        <v>163</v>
      </c>
      <c r="B41" s="31">
        <v>5021990</v>
      </c>
      <c r="C41" s="14">
        <v>47152.86</v>
      </c>
      <c r="D41" s="14">
        <v>2199.9899999999998</v>
      </c>
      <c r="E41" s="64">
        <f>F41-D41</f>
        <v>56038.75</v>
      </c>
      <c r="F41" s="64">
        <v>58238.74</v>
      </c>
      <c r="G41" s="33"/>
    </row>
    <row r="42" spans="1:7" x14ac:dyDescent="0.25">
      <c r="A42" s="54" t="s">
        <v>31</v>
      </c>
      <c r="B42" s="31">
        <v>50213990</v>
      </c>
      <c r="C42" s="14"/>
      <c r="D42" s="14"/>
      <c r="E42" s="64"/>
      <c r="F42" s="64"/>
      <c r="G42" s="33"/>
    </row>
    <row r="43" spans="1:7" x14ac:dyDescent="0.25">
      <c r="A43" s="54" t="s">
        <v>160</v>
      </c>
      <c r="B43" s="31"/>
      <c r="C43" s="14"/>
      <c r="D43" s="14"/>
      <c r="E43" s="64"/>
      <c r="F43" s="14"/>
      <c r="G43" s="33"/>
    </row>
    <row r="44" spans="1:7" x14ac:dyDescent="0.25">
      <c r="A44" s="54" t="s">
        <v>164</v>
      </c>
      <c r="B44" s="38">
        <v>50203090</v>
      </c>
      <c r="C44" s="14"/>
      <c r="D44" s="14"/>
      <c r="E44" s="64"/>
      <c r="F44" s="14"/>
      <c r="G44" s="33"/>
    </row>
    <row r="45" spans="1:7" x14ac:dyDescent="0.25">
      <c r="A45" s="54" t="s">
        <v>20</v>
      </c>
      <c r="B45" s="31">
        <v>5021990</v>
      </c>
      <c r="C45" s="14"/>
      <c r="D45" s="14"/>
      <c r="E45" s="64"/>
      <c r="F45" s="14"/>
      <c r="G45" s="33">
        <v>50000</v>
      </c>
    </row>
    <row r="46" spans="1:7" ht="13.5" customHeight="1" x14ac:dyDescent="0.25">
      <c r="A46" s="8" t="s">
        <v>24</v>
      </c>
      <c r="B46" s="127"/>
      <c r="C46" s="71">
        <f>SUM(C37:C45)</f>
        <v>63267.86</v>
      </c>
      <c r="D46" s="71">
        <f>SUM(D37:D45)</f>
        <v>11703.97</v>
      </c>
      <c r="E46" s="71">
        <f>SUM(E37:E45)</f>
        <v>99140.479999999996</v>
      </c>
      <c r="F46" s="71">
        <f>SUM(F37:F45)</f>
        <v>110844.45000000001</v>
      </c>
      <c r="G46" s="71">
        <f>SUM(G37:G45)</f>
        <v>130000</v>
      </c>
    </row>
    <row r="47" spans="1:7" ht="14.25" customHeight="1" x14ac:dyDescent="0.25">
      <c r="A47" s="24" t="s">
        <v>13</v>
      </c>
      <c r="B47" s="50"/>
      <c r="C47" s="23"/>
      <c r="D47" s="23"/>
      <c r="E47" s="23"/>
      <c r="F47" s="23"/>
      <c r="G47" s="10"/>
    </row>
    <row r="48" spans="1:7" ht="14.25" customHeight="1" x14ac:dyDescent="0.25">
      <c r="A48" s="22" t="s">
        <v>241</v>
      </c>
      <c r="B48" s="50"/>
      <c r="C48" s="23"/>
      <c r="D48" s="23"/>
      <c r="E48" s="64"/>
      <c r="F48" s="64">
        <v>25000</v>
      </c>
      <c r="G48" s="10"/>
    </row>
    <row r="49" spans="1:9" ht="16.5" customHeight="1" x14ac:dyDescent="0.25">
      <c r="A49" s="54" t="s">
        <v>202</v>
      </c>
      <c r="B49" s="50"/>
      <c r="C49" s="64"/>
      <c r="D49" s="23"/>
      <c r="E49" s="64"/>
      <c r="F49" s="64">
        <v>700</v>
      </c>
      <c r="G49" s="10"/>
    </row>
    <row r="50" spans="1:9" x14ac:dyDescent="0.25">
      <c r="A50" s="27" t="s">
        <v>64</v>
      </c>
      <c r="B50" s="26"/>
      <c r="C50" s="27">
        <f>SUM(C49:C49)</f>
        <v>0</v>
      </c>
      <c r="D50" s="27">
        <f>SUM(D49:D49)</f>
        <v>0</v>
      </c>
      <c r="E50" s="27"/>
      <c r="F50" s="27">
        <f>SUM(F49:F49)</f>
        <v>700</v>
      </c>
      <c r="G50" s="27">
        <f>SUM(G49:G49)</f>
        <v>0</v>
      </c>
      <c r="I50" s="35"/>
    </row>
    <row r="51" spans="1:9" x14ac:dyDescent="0.25">
      <c r="A51" s="69" t="s">
        <v>61</v>
      </c>
      <c r="B51" s="66"/>
      <c r="C51" s="27">
        <f>C35+C50+C46</f>
        <v>350035.5</v>
      </c>
      <c r="D51" s="27">
        <f>D35+D50+D46</f>
        <v>200169.97</v>
      </c>
      <c r="E51" s="27">
        <f>+E35+E46</f>
        <v>226757.87</v>
      </c>
      <c r="F51" s="27">
        <f>+F35+F46+F50</f>
        <v>427627.83999999997</v>
      </c>
      <c r="G51" s="27">
        <f>G35+G50+G46</f>
        <v>481472.01</v>
      </c>
      <c r="H51" s="35"/>
    </row>
    <row r="53" spans="1:9" ht="35.25" customHeight="1" x14ac:dyDescent="0.35">
      <c r="A53" s="152" t="s">
        <v>68</v>
      </c>
      <c r="B53" s="154" t="s">
        <v>69</v>
      </c>
      <c r="C53" s="154"/>
      <c r="D53" s="154"/>
      <c r="E53" s="154" t="s">
        <v>316</v>
      </c>
      <c r="F53" s="154"/>
      <c r="G53" s="152"/>
    </row>
    <row r="54" spans="1:9" ht="33" customHeight="1" x14ac:dyDescent="0.35">
      <c r="A54" s="152"/>
      <c r="B54" s="154"/>
      <c r="C54" s="154"/>
      <c r="D54" s="154"/>
      <c r="E54" s="154"/>
      <c r="F54" s="154"/>
      <c r="G54" s="152"/>
    </row>
    <row r="55" spans="1:9" ht="21" x14ac:dyDescent="0.35">
      <c r="A55" s="153" t="s">
        <v>208</v>
      </c>
      <c r="B55" s="155" t="s">
        <v>157</v>
      </c>
      <c r="C55" s="154"/>
      <c r="D55" s="154"/>
      <c r="E55" s="180" t="s">
        <v>167</v>
      </c>
      <c r="F55" s="181"/>
      <c r="G55" s="182"/>
    </row>
    <row r="56" spans="1:9" ht="21" x14ac:dyDescent="0.35">
      <c r="A56" s="152" t="s">
        <v>266</v>
      </c>
      <c r="B56" s="154" t="s">
        <v>257</v>
      </c>
      <c r="C56" s="154"/>
      <c r="D56" s="154"/>
      <c r="E56" s="181" t="s">
        <v>63</v>
      </c>
      <c r="F56" s="181"/>
      <c r="G56" s="182"/>
    </row>
    <row r="57" spans="1:9" ht="21" x14ac:dyDescent="0.35">
      <c r="A57" s="152"/>
      <c r="B57" s="152"/>
      <c r="C57" s="152"/>
      <c r="D57" s="152"/>
      <c r="E57" s="152"/>
      <c r="F57" s="152"/>
      <c r="G57" s="152"/>
    </row>
    <row r="58" spans="1:9" ht="21" x14ac:dyDescent="0.35">
      <c r="A58" s="152"/>
      <c r="B58" s="152"/>
      <c r="C58" s="152"/>
      <c r="D58" s="152"/>
      <c r="E58" s="152"/>
      <c r="F58" s="152"/>
      <c r="G58" s="152"/>
    </row>
  </sheetData>
  <sheetProtection password="CCFC" sheet="1" objects="1" scenarios="1" selectLockedCells="1" selectUnlockedCells="1"/>
  <mergeCells count="5">
    <mergeCell ref="A3:G3"/>
    <mergeCell ref="A4:G4"/>
    <mergeCell ref="A10:A11"/>
    <mergeCell ref="B10:B11"/>
    <mergeCell ref="D10:F10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3"/>
  <sheetViews>
    <sheetView topLeftCell="A47" workbookViewId="0">
      <selection activeCell="A59" sqref="A59"/>
    </sheetView>
  </sheetViews>
  <sheetFormatPr defaultRowHeight="15" x14ac:dyDescent="0.25"/>
  <cols>
    <col min="1" max="1" width="46.42578125" style="16" customWidth="1"/>
    <col min="2" max="2" width="10.140625" style="16" customWidth="1"/>
    <col min="3" max="3" width="13.28515625" style="16" bestFit="1" customWidth="1"/>
    <col min="4" max="4" width="13.85546875" style="16" bestFit="1" customWidth="1"/>
    <col min="5" max="5" width="13.85546875" style="16" customWidth="1"/>
    <col min="6" max="6" width="15.140625" style="16" customWidth="1"/>
    <col min="7" max="7" width="14.28515625" style="16" bestFit="1" customWidth="1"/>
    <col min="8" max="8" width="39.5703125" style="16" customWidth="1"/>
    <col min="9" max="9" width="11.7109375" style="16" customWidth="1"/>
    <col min="10" max="16384" width="9.140625" style="16"/>
  </cols>
  <sheetData>
    <row r="1" spans="1:7" x14ac:dyDescent="0.25">
      <c r="A1" s="16" t="s">
        <v>9</v>
      </c>
      <c r="G1" s="16" t="s">
        <v>96</v>
      </c>
    </row>
    <row r="2" spans="1:7" ht="6.75" customHeight="1" x14ac:dyDescent="0.25"/>
    <row r="3" spans="1:7" ht="21" x14ac:dyDescent="0.35">
      <c r="A3" s="602" t="s">
        <v>10</v>
      </c>
      <c r="B3" s="602"/>
      <c r="C3" s="602"/>
      <c r="D3" s="602"/>
      <c r="E3" s="602"/>
      <c r="F3" s="602"/>
      <c r="G3" s="602"/>
    </row>
    <row r="4" spans="1:7" ht="21" x14ac:dyDescent="0.35">
      <c r="A4" s="602" t="s">
        <v>127</v>
      </c>
      <c r="B4" s="602"/>
      <c r="C4" s="602"/>
      <c r="D4" s="602"/>
      <c r="E4" s="602"/>
      <c r="F4" s="602"/>
      <c r="G4" s="602"/>
    </row>
    <row r="5" spans="1:7" ht="3" customHeight="1" x14ac:dyDescent="0.35">
      <c r="A5" s="153"/>
      <c r="B5" s="152"/>
      <c r="C5" s="152"/>
      <c r="D5" s="152"/>
      <c r="E5" s="152"/>
      <c r="F5" s="152"/>
      <c r="G5" s="152"/>
    </row>
    <row r="6" spans="1:7" ht="27" customHeight="1" x14ac:dyDescent="0.35">
      <c r="A6" s="153" t="s">
        <v>214</v>
      </c>
      <c r="B6" s="152"/>
      <c r="C6" s="152"/>
      <c r="D6" s="152"/>
      <c r="E6" s="152"/>
      <c r="F6" s="152"/>
      <c r="G6" s="152"/>
    </row>
    <row r="7" spans="1:7" ht="21" x14ac:dyDescent="0.35">
      <c r="A7" s="152" t="s">
        <v>215</v>
      </c>
      <c r="B7" s="152"/>
      <c r="C7" s="152"/>
      <c r="D7" s="152"/>
      <c r="E7" s="152"/>
      <c r="F7" s="152"/>
      <c r="G7" s="152"/>
    </row>
    <row r="8" spans="1:7" ht="21" x14ac:dyDescent="0.35">
      <c r="A8" s="152" t="s">
        <v>210</v>
      </c>
      <c r="B8" s="152"/>
      <c r="C8" s="152"/>
      <c r="D8" s="152"/>
      <c r="E8" s="152"/>
      <c r="F8" s="152"/>
      <c r="G8" s="152"/>
    </row>
    <row r="9" spans="1:7" ht="3.75" customHeight="1" x14ac:dyDescent="0.25"/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4" customHeight="1" x14ac:dyDescent="0.25">
      <c r="A11" s="597"/>
      <c r="B11" s="599"/>
      <c r="C11" s="18" t="s">
        <v>4</v>
      </c>
      <c r="D11" s="174" t="s">
        <v>120</v>
      </c>
      <c r="E11" s="174" t="s">
        <v>119</v>
      </c>
      <c r="F11" s="17" t="s">
        <v>5</v>
      </c>
      <c r="G11" s="18" t="s">
        <v>6</v>
      </c>
    </row>
    <row r="12" spans="1:7" x14ac:dyDescent="0.25">
      <c r="A12" s="173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173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ht="6.75" customHeight="1" x14ac:dyDescent="0.25">
      <c r="A15" s="172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18"/>
      <c r="G16" s="18"/>
    </row>
    <row r="17" spans="1:7" hidden="1" x14ac:dyDescent="0.25">
      <c r="A17" s="54" t="s">
        <v>57</v>
      </c>
      <c r="B17" s="18"/>
      <c r="C17" s="18"/>
      <c r="D17" s="18"/>
      <c r="E17" s="18"/>
      <c r="F17" s="18"/>
      <c r="G17" s="43"/>
    </row>
    <row r="18" spans="1:7" x14ac:dyDescent="0.25">
      <c r="A18" s="54" t="s">
        <v>94</v>
      </c>
      <c r="B18" s="38">
        <v>50101010</v>
      </c>
      <c r="C18" s="208">
        <v>126495</v>
      </c>
      <c r="D18" s="240">
        <v>86479</v>
      </c>
      <c r="E18" s="241">
        <f>F18-D18</f>
        <v>31428.179999999993</v>
      </c>
      <c r="F18" s="240">
        <v>117907.18</v>
      </c>
      <c r="G18" s="65">
        <f>223116-94596</f>
        <v>128520</v>
      </c>
    </row>
    <row r="19" spans="1:7" hidden="1" x14ac:dyDescent="0.25">
      <c r="A19" s="54" t="s">
        <v>94</v>
      </c>
      <c r="B19" s="18"/>
      <c r="C19" s="76"/>
      <c r="D19" s="240"/>
      <c r="E19" s="241">
        <f t="shared" ref="E19:E34" si="0">F19-D19</f>
        <v>0</v>
      </c>
      <c r="F19" s="240"/>
      <c r="G19" s="43"/>
    </row>
    <row r="20" spans="1:7" hidden="1" x14ac:dyDescent="0.25">
      <c r="A20" s="54" t="s">
        <v>94</v>
      </c>
      <c r="B20" s="18"/>
      <c r="C20" s="76"/>
      <c r="D20" s="240"/>
      <c r="E20" s="241">
        <f t="shared" si="0"/>
        <v>0</v>
      </c>
      <c r="F20" s="240"/>
      <c r="G20" s="43"/>
    </row>
    <row r="21" spans="1:7" x14ac:dyDescent="0.25">
      <c r="A21" s="54" t="s">
        <v>159</v>
      </c>
      <c r="B21" s="18"/>
      <c r="C21" s="208">
        <v>133760</v>
      </c>
      <c r="D21" s="240">
        <v>141120</v>
      </c>
      <c r="E21" s="241">
        <f t="shared" si="0"/>
        <v>111280</v>
      </c>
      <c r="F21" s="240">
        <v>252400</v>
      </c>
      <c r="G21" s="76">
        <v>150000</v>
      </c>
    </row>
    <row r="22" spans="1:7" x14ac:dyDescent="0.25">
      <c r="A22" s="72" t="s">
        <v>52</v>
      </c>
      <c r="B22" s="52">
        <v>50102010</v>
      </c>
      <c r="C22" s="208">
        <v>24000</v>
      </c>
      <c r="D22" s="240">
        <v>18000</v>
      </c>
      <c r="E22" s="241">
        <f t="shared" si="0"/>
        <v>7227.27</v>
      </c>
      <c r="F22" s="240">
        <v>25227.27</v>
      </c>
      <c r="G22" s="65">
        <f>48000-24000</f>
        <v>24000</v>
      </c>
    </row>
    <row r="23" spans="1:7" x14ac:dyDescent="0.25">
      <c r="A23" s="72" t="s">
        <v>51</v>
      </c>
      <c r="B23" s="52">
        <v>50102020</v>
      </c>
      <c r="C23" s="76"/>
      <c r="D23" s="240"/>
      <c r="E23" s="241">
        <f t="shared" si="0"/>
        <v>0</v>
      </c>
      <c r="F23" s="240"/>
      <c r="G23" s="65"/>
    </row>
    <row r="24" spans="1:7" x14ac:dyDescent="0.25">
      <c r="A24" s="72" t="s">
        <v>48</v>
      </c>
      <c r="B24" s="52">
        <v>50102030</v>
      </c>
      <c r="C24" s="76"/>
      <c r="D24" s="240"/>
      <c r="E24" s="241">
        <f t="shared" si="0"/>
        <v>0</v>
      </c>
      <c r="F24" s="240"/>
      <c r="G24" s="65"/>
    </row>
    <row r="25" spans="1:7" x14ac:dyDescent="0.25">
      <c r="A25" s="72" t="s">
        <v>49</v>
      </c>
      <c r="B25" s="52">
        <v>50102040</v>
      </c>
      <c r="C25" s="208">
        <v>10000</v>
      </c>
      <c r="D25" s="240"/>
      <c r="E25" s="241">
        <f t="shared" si="0"/>
        <v>5000</v>
      </c>
      <c r="F25" s="240">
        <v>5000</v>
      </c>
      <c r="G25" s="65">
        <f>10000-5000</f>
        <v>5000</v>
      </c>
    </row>
    <row r="26" spans="1:7" x14ac:dyDescent="0.25">
      <c r="A26" s="72" t="s">
        <v>47</v>
      </c>
      <c r="B26" s="52">
        <v>50102150</v>
      </c>
      <c r="C26" s="208">
        <v>5000</v>
      </c>
      <c r="D26" s="240"/>
      <c r="E26" s="241">
        <f t="shared" si="0"/>
        <v>5000</v>
      </c>
      <c r="F26" s="240">
        <v>5000</v>
      </c>
      <c r="G26" s="65">
        <v>10000</v>
      </c>
    </row>
    <row r="27" spans="1:7" x14ac:dyDescent="0.25">
      <c r="A27" s="72" t="s">
        <v>46</v>
      </c>
      <c r="B27" s="52">
        <v>50102140</v>
      </c>
      <c r="C27" s="208">
        <f>24816-7408-10000</f>
        <v>7408</v>
      </c>
      <c r="D27" s="240"/>
      <c r="E27" s="241">
        <f t="shared" si="0"/>
        <v>10259</v>
      </c>
      <c r="F27" s="240">
        <v>10259</v>
      </c>
      <c r="G27" s="65">
        <f>18593-7883</f>
        <v>10710</v>
      </c>
    </row>
    <row r="28" spans="1:7" x14ac:dyDescent="0.25">
      <c r="A28" s="72" t="s">
        <v>39</v>
      </c>
      <c r="B28" s="52">
        <v>50102990</v>
      </c>
      <c r="C28" s="208">
        <v>7408</v>
      </c>
      <c r="D28" s="240"/>
      <c r="E28" s="241">
        <f t="shared" si="0"/>
        <v>10259</v>
      </c>
      <c r="F28" s="240">
        <v>10259</v>
      </c>
      <c r="G28" s="65">
        <f>18593-12883</f>
        <v>5710</v>
      </c>
    </row>
    <row r="29" spans="1:7" x14ac:dyDescent="0.25">
      <c r="A29" s="72" t="s">
        <v>40</v>
      </c>
      <c r="B29" s="52">
        <v>50103010</v>
      </c>
      <c r="C29" s="208">
        <v>15179.4</v>
      </c>
      <c r="D29" s="240">
        <v>7302.24</v>
      </c>
      <c r="E29" s="241">
        <f t="shared" si="0"/>
        <v>4669.7000000000007</v>
      </c>
      <c r="F29" s="240">
        <v>11971.94</v>
      </c>
      <c r="G29" s="65">
        <f>26773.92-11351.52</f>
        <v>15422.399999999998</v>
      </c>
    </row>
    <row r="30" spans="1:7" x14ac:dyDescent="0.25">
      <c r="A30" s="72" t="s">
        <v>41</v>
      </c>
      <c r="B30" s="52">
        <v>50103020</v>
      </c>
      <c r="C30" s="208">
        <v>1300</v>
      </c>
      <c r="D30" s="240">
        <v>600</v>
      </c>
      <c r="E30" s="241">
        <f t="shared" si="0"/>
        <v>400</v>
      </c>
      <c r="F30" s="240">
        <v>1000</v>
      </c>
      <c r="G30" s="65">
        <f>2400-1200</f>
        <v>1200</v>
      </c>
    </row>
    <row r="31" spans="1:7" x14ac:dyDescent="0.25">
      <c r="A31" s="72" t="s">
        <v>42</v>
      </c>
      <c r="B31" s="52">
        <v>50103030</v>
      </c>
      <c r="C31" s="208">
        <v>1450</v>
      </c>
      <c r="D31" s="240">
        <v>1175</v>
      </c>
      <c r="E31" s="241">
        <f t="shared" si="0"/>
        <v>450</v>
      </c>
      <c r="F31" s="240">
        <v>1625</v>
      </c>
      <c r="G31" s="65">
        <f>2550-1200</f>
        <v>1350</v>
      </c>
    </row>
    <row r="32" spans="1:7" x14ac:dyDescent="0.25">
      <c r="A32" s="72" t="s">
        <v>43</v>
      </c>
      <c r="B32" s="52">
        <v>50103040</v>
      </c>
      <c r="C32" s="208">
        <v>1264.95</v>
      </c>
      <c r="D32" s="240">
        <v>598.16</v>
      </c>
      <c r="E32" s="241">
        <f t="shared" si="0"/>
        <v>449.72000000000014</v>
      </c>
      <c r="F32" s="240">
        <v>1047.8800000000001</v>
      </c>
      <c r="G32" s="65">
        <f>2231.16-945.96</f>
        <v>1285.1999999999998</v>
      </c>
    </row>
    <row r="33" spans="1:7" x14ac:dyDescent="0.25">
      <c r="A33" s="72" t="s">
        <v>44</v>
      </c>
      <c r="B33" s="52">
        <v>50104990</v>
      </c>
      <c r="C33" s="208">
        <v>9549.8700000000008</v>
      </c>
      <c r="D33" s="240"/>
      <c r="E33" s="241">
        <f t="shared" si="0"/>
        <v>9888.17</v>
      </c>
      <c r="F33" s="240">
        <v>9888.17</v>
      </c>
      <c r="G33" s="65">
        <f>17920.94-7598.06</f>
        <v>10322.879999999997</v>
      </c>
    </row>
    <row r="34" spans="1:7" x14ac:dyDescent="0.25">
      <c r="A34" s="72" t="s">
        <v>45</v>
      </c>
      <c r="B34" s="52">
        <v>50102990</v>
      </c>
      <c r="C34" s="208">
        <v>10000</v>
      </c>
      <c r="D34" s="240"/>
      <c r="E34" s="241">
        <f t="shared" si="0"/>
        <v>5000</v>
      </c>
      <c r="F34" s="240">
        <v>5000</v>
      </c>
      <c r="G34" s="65">
        <f>10000-5000</f>
        <v>5000</v>
      </c>
    </row>
    <row r="35" spans="1:7" ht="17.25" customHeight="1" x14ac:dyDescent="0.25">
      <c r="A35" s="27" t="s">
        <v>58</v>
      </c>
      <c r="B35" s="62"/>
      <c r="C35" s="63">
        <f>SUM(C17:C34)</f>
        <v>352815.22000000003</v>
      </c>
      <c r="D35" s="63">
        <f>SUM(D17:D34)</f>
        <v>255274.4</v>
      </c>
      <c r="E35" s="63">
        <f>SUM(E17:E34)</f>
        <v>201311.04</v>
      </c>
      <c r="F35" s="63">
        <f>SUM(F17:F34)</f>
        <v>456585.44</v>
      </c>
      <c r="G35" s="63">
        <f>SUM(G17:G34)</f>
        <v>368520.48000000004</v>
      </c>
    </row>
    <row r="36" spans="1:7" x14ac:dyDescent="0.25">
      <c r="A36" s="24" t="s">
        <v>14</v>
      </c>
      <c r="B36" s="23"/>
      <c r="C36" s="23"/>
      <c r="D36" s="23"/>
      <c r="E36" s="23"/>
      <c r="F36" s="23"/>
      <c r="G36" s="23"/>
    </row>
    <row r="37" spans="1:7" x14ac:dyDescent="0.25">
      <c r="A37" s="54" t="s">
        <v>17</v>
      </c>
      <c r="B37" s="29">
        <v>50203010</v>
      </c>
      <c r="C37" s="14">
        <v>8344.1299999999992</v>
      </c>
      <c r="D37" s="14">
        <v>4999.3599999999997</v>
      </c>
      <c r="E37" s="64">
        <f>F37-D37</f>
        <v>2992.7400000000007</v>
      </c>
      <c r="F37" s="64">
        <v>7992.1</v>
      </c>
      <c r="G37" s="9">
        <v>10000</v>
      </c>
    </row>
    <row r="38" spans="1:7" x14ac:dyDescent="0.25">
      <c r="A38" s="54" t="s">
        <v>158</v>
      </c>
      <c r="B38" s="29">
        <v>50201010</v>
      </c>
      <c r="C38" s="14">
        <v>10400</v>
      </c>
      <c r="D38" s="14">
        <v>12533.81</v>
      </c>
      <c r="E38" s="64">
        <f>F38-D38</f>
        <v>6876.2899999999991</v>
      </c>
      <c r="F38" s="64">
        <v>19410.099999999999</v>
      </c>
      <c r="G38" s="9">
        <v>20000</v>
      </c>
    </row>
    <row r="39" spans="1:7" x14ac:dyDescent="0.25">
      <c r="A39" s="54" t="s">
        <v>27</v>
      </c>
      <c r="B39" s="31">
        <v>50202010</v>
      </c>
      <c r="C39" s="14"/>
      <c r="D39" s="14"/>
      <c r="E39" s="64"/>
      <c r="F39" s="64"/>
      <c r="G39" s="33"/>
    </row>
    <row r="40" spans="1:7" x14ac:dyDescent="0.25">
      <c r="A40" s="54" t="s">
        <v>29</v>
      </c>
      <c r="B40" s="31">
        <v>50205020</v>
      </c>
      <c r="C40" s="14"/>
      <c r="D40" s="14"/>
      <c r="E40" s="64"/>
      <c r="F40" s="64"/>
      <c r="G40" s="33"/>
    </row>
    <row r="41" spans="1:7" x14ac:dyDescent="0.25">
      <c r="A41" s="54" t="s">
        <v>163</v>
      </c>
      <c r="B41" s="31">
        <v>5021990</v>
      </c>
      <c r="C41" s="14"/>
      <c r="D41" s="14"/>
      <c r="E41" s="64">
        <f>F41-D41</f>
        <v>249960</v>
      </c>
      <c r="F41" s="64">
        <v>249960</v>
      </c>
      <c r="G41" s="33">
        <v>178000</v>
      </c>
    </row>
    <row r="42" spans="1:7" x14ac:dyDescent="0.25">
      <c r="A42" s="54" t="s">
        <v>31</v>
      </c>
      <c r="B42" s="31">
        <v>50213990</v>
      </c>
      <c r="C42" s="14"/>
      <c r="D42" s="14"/>
      <c r="E42" s="64"/>
      <c r="F42" s="64"/>
      <c r="G42" s="33"/>
    </row>
    <row r="43" spans="1:7" x14ac:dyDescent="0.25">
      <c r="A43" s="54" t="s">
        <v>160</v>
      </c>
      <c r="B43" s="31"/>
      <c r="C43" s="14"/>
      <c r="D43" s="14"/>
      <c r="E43" s="64">
        <f>F43-D43</f>
        <v>5000</v>
      </c>
      <c r="F43" s="64">
        <v>5000</v>
      </c>
      <c r="G43" s="33">
        <v>5000</v>
      </c>
    </row>
    <row r="44" spans="1:7" x14ac:dyDescent="0.25">
      <c r="A44" s="54" t="s">
        <v>164</v>
      </c>
      <c r="B44" s="38">
        <v>50203090</v>
      </c>
      <c r="C44" s="14"/>
      <c r="D44" s="14"/>
      <c r="E44" s="64"/>
      <c r="F44" s="64"/>
      <c r="G44" s="33"/>
    </row>
    <row r="45" spans="1:7" x14ac:dyDescent="0.25">
      <c r="A45" s="54" t="s">
        <v>20</v>
      </c>
      <c r="B45" s="31">
        <v>5021990</v>
      </c>
      <c r="C45" s="14">
        <v>467380</v>
      </c>
      <c r="D45" s="14">
        <v>162580</v>
      </c>
      <c r="E45" s="64"/>
      <c r="F45" s="64"/>
      <c r="G45" s="33"/>
    </row>
    <row r="46" spans="1:7" x14ac:dyDescent="0.25">
      <c r="A46" s="54" t="s">
        <v>212</v>
      </c>
      <c r="B46" s="31"/>
      <c r="C46" s="14">
        <v>992.13</v>
      </c>
      <c r="D46" s="14"/>
      <c r="E46" s="64">
        <f>F46-D46</f>
        <v>1613.63</v>
      </c>
      <c r="F46" s="64">
        <v>1613.63</v>
      </c>
      <c r="G46" s="33">
        <v>10000</v>
      </c>
    </row>
    <row r="47" spans="1:7" x14ac:dyDescent="0.25">
      <c r="A47" s="54" t="s">
        <v>216</v>
      </c>
      <c r="B47" s="31"/>
      <c r="C47" s="14"/>
      <c r="D47" s="14"/>
      <c r="E47" s="64"/>
      <c r="F47" s="64"/>
      <c r="G47" s="33"/>
    </row>
    <row r="48" spans="1:7" x14ac:dyDescent="0.25">
      <c r="A48" s="54"/>
      <c r="B48" s="31"/>
      <c r="C48" s="14"/>
      <c r="D48" s="14"/>
      <c r="E48" s="64"/>
      <c r="F48" s="64"/>
      <c r="G48" s="33"/>
    </row>
    <row r="49" spans="1:9" x14ac:dyDescent="0.25">
      <c r="A49" s="54"/>
      <c r="B49" s="31"/>
      <c r="C49" s="14"/>
      <c r="D49" s="14"/>
      <c r="E49" s="64"/>
      <c r="F49" s="14"/>
      <c r="G49" s="33"/>
    </row>
    <row r="50" spans="1:9" ht="13.5" customHeight="1" x14ac:dyDescent="0.25">
      <c r="A50" s="8" t="s">
        <v>24</v>
      </c>
      <c r="B50" s="127"/>
      <c r="C50" s="71">
        <f>SUM(C37:C47)</f>
        <v>487116.26</v>
      </c>
      <c r="D50" s="71">
        <f t="shared" ref="D50:F50" si="1">SUM(D37:D46)</f>
        <v>180113.16999999998</v>
      </c>
      <c r="E50" s="71">
        <f>SUM(E37:E49)</f>
        <v>266442.66000000003</v>
      </c>
      <c r="F50" s="71">
        <f t="shared" si="1"/>
        <v>283975.83</v>
      </c>
      <c r="G50" s="71">
        <f>SUM(G37:G49)</f>
        <v>223000</v>
      </c>
    </row>
    <row r="51" spans="1:9" ht="14.25" customHeight="1" x14ac:dyDescent="0.25">
      <c r="A51" s="24" t="s">
        <v>13</v>
      </c>
      <c r="B51" s="50"/>
      <c r="C51" s="23"/>
      <c r="D51" s="23"/>
      <c r="E51" s="23"/>
      <c r="F51" s="23"/>
      <c r="G51" s="10"/>
    </row>
    <row r="52" spans="1:9" ht="14.25" customHeight="1" x14ac:dyDescent="0.25">
      <c r="A52" s="22" t="s">
        <v>213</v>
      </c>
      <c r="B52" s="50"/>
      <c r="C52" s="23"/>
      <c r="D52" s="23"/>
      <c r="F52" s="30">
        <v>79850</v>
      </c>
      <c r="G52" s="10"/>
    </row>
    <row r="53" spans="1:9" ht="14.25" customHeight="1" x14ac:dyDescent="0.25">
      <c r="A53" s="22" t="s">
        <v>237</v>
      </c>
      <c r="B53" s="50"/>
      <c r="C53" s="23"/>
      <c r="D53" s="30">
        <v>53017.8</v>
      </c>
      <c r="F53" s="30">
        <v>59157.8</v>
      </c>
      <c r="G53" s="10"/>
    </row>
    <row r="54" spans="1:9" ht="16.5" customHeight="1" x14ac:dyDescent="0.25">
      <c r="A54" s="54" t="s">
        <v>220</v>
      </c>
      <c r="B54" s="50"/>
      <c r="C54" s="64"/>
      <c r="D54" s="23"/>
      <c r="E54" s="23"/>
      <c r="F54" s="14"/>
      <c r="G54" s="10"/>
    </row>
    <row r="55" spans="1:9" x14ac:dyDescent="0.25">
      <c r="A55" s="27" t="s">
        <v>64</v>
      </c>
      <c r="B55" s="26"/>
      <c r="C55" s="27">
        <f>SUM(C52:C54)</f>
        <v>0</v>
      </c>
      <c r="D55" s="27">
        <f>SUM(D53:D54)</f>
        <v>53017.8</v>
      </c>
      <c r="E55" s="27">
        <f t="shared" ref="E55:G55" si="2">SUM(E52:E54)</f>
        <v>0</v>
      </c>
      <c r="F55" s="27">
        <f>SUM(F52:F54)</f>
        <v>139007.79999999999</v>
      </c>
      <c r="G55" s="27">
        <f t="shared" si="2"/>
        <v>0</v>
      </c>
      <c r="I55" s="35"/>
    </row>
    <row r="56" spans="1:9" x14ac:dyDescent="0.25">
      <c r="A56" s="69" t="s">
        <v>61</v>
      </c>
      <c r="B56" s="66"/>
      <c r="C56" s="27">
        <f>C35+C55+C50</f>
        <v>839931.48</v>
      </c>
      <c r="D56" s="27">
        <f>D35+D55+D50</f>
        <v>488405.37</v>
      </c>
      <c r="E56" s="27">
        <f>E35+E55+E50</f>
        <v>467753.70000000007</v>
      </c>
      <c r="F56" s="27">
        <f>+F35+F50+F55</f>
        <v>879569.07000000007</v>
      </c>
      <c r="G56" s="27">
        <f>G35+G55+G50</f>
        <v>591520.48</v>
      </c>
      <c r="H56" s="35"/>
    </row>
    <row r="58" spans="1:9" ht="35.25" customHeight="1" x14ac:dyDescent="0.35">
      <c r="A58" s="152" t="s">
        <v>68</v>
      </c>
      <c r="B58" s="154" t="s">
        <v>69</v>
      </c>
      <c r="C58" s="154"/>
      <c r="D58" s="154"/>
      <c r="E58" s="154" t="s">
        <v>315</v>
      </c>
      <c r="F58" s="154"/>
      <c r="G58" s="152"/>
    </row>
    <row r="59" spans="1:9" ht="33" customHeight="1" x14ac:dyDescent="0.35">
      <c r="A59" s="152"/>
      <c r="B59" s="154"/>
      <c r="C59" s="154"/>
      <c r="D59" s="154"/>
      <c r="E59" s="154"/>
      <c r="F59" s="154"/>
      <c r="G59" s="152"/>
    </row>
    <row r="60" spans="1:9" ht="21" x14ac:dyDescent="0.35">
      <c r="A60" s="153" t="s">
        <v>184</v>
      </c>
      <c r="B60" s="155" t="s">
        <v>157</v>
      </c>
      <c r="C60" s="154"/>
      <c r="D60" s="154"/>
      <c r="E60" s="180" t="s">
        <v>167</v>
      </c>
      <c r="F60" s="181"/>
      <c r="G60" s="182"/>
    </row>
    <row r="61" spans="1:9" ht="21" x14ac:dyDescent="0.35">
      <c r="A61" s="152" t="s">
        <v>267</v>
      </c>
      <c r="B61" s="154" t="s">
        <v>257</v>
      </c>
      <c r="C61" s="154"/>
      <c r="D61" s="154"/>
      <c r="E61" s="181" t="s">
        <v>63</v>
      </c>
      <c r="F61" s="181"/>
      <c r="G61" s="182"/>
    </row>
    <row r="62" spans="1:9" ht="21" x14ac:dyDescent="0.35">
      <c r="A62" s="152"/>
      <c r="B62" s="152"/>
      <c r="C62" s="152"/>
      <c r="D62" s="152"/>
      <c r="E62" s="152"/>
      <c r="F62" s="152"/>
      <c r="G62" s="152"/>
    </row>
    <row r="63" spans="1:9" ht="21" x14ac:dyDescent="0.35">
      <c r="A63" s="152"/>
      <c r="B63" s="152"/>
      <c r="C63" s="152"/>
      <c r="D63" s="152"/>
      <c r="E63" s="152"/>
      <c r="F63" s="152"/>
      <c r="G63" s="152"/>
    </row>
  </sheetData>
  <sheetProtection password="CCFC" sheet="1" objects="1" scenarios="1" selectLockedCells="1" selectUnlockedCells="1"/>
  <mergeCells count="5">
    <mergeCell ref="A3:G3"/>
    <mergeCell ref="A4:G4"/>
    <mergeCell ref="A10:A11"/>
    <mergeCell ref="B10:B11"/>
    <mergeCell ref="D10:F10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4"/>
  <sheetViews>
    <sheetView tabSelected="1" topLeftCell="A42" workbookViewId="0">
      <selection activeCell="A60" sqref="A60"/>
    </sheetView>
  </sheetViews>
  <sheetFormatPr defaultRowHeight="15" x14ac:dyDescent="0.25"/>
  <cols>
    <col min="1" max="1" width="46.42578125" style="16" customWidth="1"/>
    <col min="2" max="2" width="10.140625" style="16" customWidth="1"/>
    <col min="3" max="3" width="13.28515625" style="16" bestFit="1" customWidth="1"/>
    <col min="4" max="4" width="13.85546875" style="16" bestFit="1" customWidth="1"/>
    <col min="5" max="5" width="13.85546875" style="16" customWidth="1"/>
    <col min="6" max="6" width="15.140625" style="16" customWidth="1"/>
    <col min="7" max="7" width="14.28515625" style="16" bestFit="1" customWidth="1"/>
    <col min="8" max="8" width="39.5703125" style="16" customWidth="1"/>
    <col min="9" max="9" width="11.7109375" style="16" customWidth="1"/>
    <col min="10" max="16384" width="9.140625" style="16"/>
  </cols>
  <sheetData>
    <row r="1" spans="1:7" x14ac:dyDescent="0.25">
      <c r="A1" s="16" t="s">
        <v>9</v>
      </c>
      <c r="G1" s="16" t="s">
        <v>96</v>
      </c>
    </row>
    <row r="2" spans="1:7" ht="6.75" customHeight="1" x14ac:dyDescent="0.25"/>
    <row r="3" spans="1:7" ht="21" x14ac:dyDescent="0.35">
      <c r="A3" s="602" t="s">
        <v>10</v>
      </c>
      <c r="B3" s="602"/>
      <c r="C3" s="602"/>
      <c r="D3" s="602"/>
      <c r="E3" s="602"/>
      <c r="F3" s="602"/>
      <c r="G3" s="602"/>
    </row>
    <row r="4" spans="1:7" ht="21" x14ac:dyDescent="0.35">
      <c r="A4" s="602" t="s">
        <v>127</v>
      </c>
      <c r="B4" s="602"/>
      <c r="C4" s="602"/>
      <c r="D4" s="602"/>
      <c r="E4" s="602"/>
      <c r="F4" s="602"/>
      <c r="G4" s="602"/>
    </row>
    <row r="5" spans="1:7" ht="3" customHeight="1" x14ac:dyDescent="0.35">
      <c r="A5" s="153"/>
      <c r="B5" s="152"/>
      <c r="C5" s="152"/>
      <c r="D5" s="152"/>
      <c r="E5" s="152"/>
      <c r="F5" s="152"/>
      <c r="G5" s="152"/>
    </row>
    <row r="6" spans="1:7" ht="27" customHeight="1" x14ac:dyDescent="0.35">
      <c r="A6" s="153" t="s">
        <v>217</v>
      </c>
      <c r="B6" s="152"/>
      <c r="C6" s="152"/>
      <c r="D6" s="152"/>
      <c r="E6" s="152"/>
      <c r="F6" s="152"/>
      <c r="G6" s="152"/>
    </row>
    <row r="7" spans="1:7" ht="21" x14ac:dyDescent="0.35">
      <c r="A7" s="152" t="s">
        <v>218</v>
      </c>
      <c r="B7" s="152"/>
      <c r="C7" s="152"/>
      <c r="D7" s="152"/>
      <c r="E7" s="152"/>
      <c r="F7" s="152"/>
      <c r="G7" s="152"/>
    </row>
    <row r="8" spans="1:7" ht="21" x14ac:dyDescent="0.35">
      <c r="A8" s="152" t="s">
        <v>210</v>
      </c>
      <c r="B8" s="152"/>
      <c r="C8" s="152"/>
      <c r="D8" s="152"/>
      <c r="E8" s="152"/>
      <c r="F8" s="152"/>
      <c r="G8" s="152"/>
    </row>
    <row r="9" spans="1:7" ht="3.75" customHeight="1" x14ac:dyDescent="0.25"/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4" customHeight="1" x14ac:dyDescent="0.25">
      <c r="A11" s="597"/>
      <c r="B11" s="599"/>
      <c r="C11" s="18" t="s">
        <v>4</v>
      </c>
      <c r="D11" s="174" t="s">
        <v>120</v>
      </c>
      <c r="E11" s="174" t="s">
        <v>119</v>
      </c>
      <c r="F11" s="17" t="s">
        <v>5</v>
      </c>
      <c r="G11" s="18" t="s">
        <v>6</v>
      </c>
    </row>
    <row r="12" spans="1:7" x14ac:dyDescent="0.25">
      <c r="A12" s="173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173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ht="6.75" customHeight="1" x14ac:dyDescent="0.25">
      <c r="A15" s="172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18"/>
      <c r="G16" s="18"/>
    </row>
    <row r="17" spans="1:7" hidden="1" x14ac:dyDescent="0.25">
      <c r="A17" s="54" t="s">
        <v>57</v>
      </c>
      <c r="B17" s="18"/>
      <c r="C17" s="18"/>
      <c r="D17" s="18"/>
      <c r="E17" s="18"/>
      <c r="F17" s="18"/>
      <c r="G17" s="43"/>
    </row>
    <row r="18" spans="1:7" x14ac:dyDescent="0.25">
      <c r="A18" s="54" t="s">
        <v>94</v>
      </c>
      <c r="B18" s="38">
        <v>50101010</v>
      </c>
      <c r="C18" s="208">
        <v>338847.52</v>
      </c>
      <c r="D18" s="240">
        <v>232810</v>
      </c>
      <c r="E18" s="241">
        <f>F18-D18</f>
        <v>60880</v>
      </c>
      <c r="F18" s="240">
        <v>293690</v>
      </c>
      <c r="G18" s="65">
        <v>366672</v>
      </c>
    </row>
    <row r="19" spans="1:7" hidden="1" x14ac:dyDescent="0.25">
      <c r="A19" s="54" t="s">
        <v>94</v>
      </c>
      <c r="B19" s="18"/>
      <c r="C19" s="76"/>
      <c r="D19" s="240"/>
      <c r="E19" s="241">
        <f t="shared" ref="E19:E34" si="0">F19-D19</f>
        <v>0</v>
      </c>
      <c r="F19" s="240"/>
      <c r="G19" s="43"/>
    </row>
    <row r="20" spans="1:7" hidden="1" x14ac:dyDescent="0.25">
      <c r="A20" s="54" t="s">
        <v>94</v>
      </c>
      <c r="B20" s="18"/>
      <c r="C20" s="76"/>
      <c r="D20" s="240"/>
      <c r="E20" s="241">
        <f t="shared" si="0"/>
        <v>0</v>
      </c>
      <c r="F20" s="240"/>
      <c r="G20" s="43"/>
    </row>
    <row r="21" spans="1:7" x14ac:dyDescent="0.25">
      <c r="A21" s="54" t="s">
        <v>159</v>
      </c>
      <c r="B21" s="18"/>
      <c r="C21" s="76"/>
      <c r="D21" s="240">
        <v>145280</v>
      </c>
      <c r="E21" s="241">
        <f t="shared" si="0"/>
        <v>0</v>
      </c>
      <c r="F21" s="240">
        <v>145280</v>
      </c>
      <c r="G21" s="76">
        <v>150000</v>
      </c>
    </row>
    <row r="22" spans="1:7" x14ac:dyDescent="0.25">
      <c r="A22" s="72" t="s">
        <v>52</v>
      </c>
      <c r="B22" s="52">
        <v>50102010</v>
      </c>
      <c r="C22" s="208">
        <v>72000</v>
      </c>
      <c r="D22" s="240">
        <v>54000</v>
      </c>
      <c r="E22" s="241">
        <f t="shared" si="0"/>
        <v>12000</v>
      </c>
      <c r="F22" s="240">
        <v>66000</v>
      </c>
      <c r="G22" s="65">
        <v>72000</v>
      </c>
    </row>
    <row r="23" spans="1:7" x14ac:dyDescent="0.25">
      <c r="A23" s="72" t="s">
        <v>51</v>
      </c>
      <c r="B23" s="52">
        <v>50102020</v>
      </c>
      <c r="C23" s="76"/>
      <c r="D23" s="240"/>
      <c r="E23" s="241">
        <f t="shared" si="0"/>
        <v>0</v>
      </c>
      <c r="F23" s="240"/>
      <c r="G23" s="605"/>
    </row>
    <row r="24" spans="1:7" x14ac:dyDescent="0.25">
      <c r="A24" s="72" t="s">
        <v>48</v>
      </c>
      <c r="B24" s="52">
        <v>50102030</v>
      </c>
      <c r="C24" s="76"/>
      <c r="D24" s="240"/>
      <c r="E24" s="241">
        <f t="shared" si="0"/>
        <v>0</v>
      </c>
      <c r="F24" s="240"/>
      <c r="G24" s="605"/>
    </row>
    <row r="25" spans="1:7" x14ac:dyDescent="0.25">
      <c r="A25" s="72" t="s">
        <v>49</v>
      </c>
      <c r="B25" s="52">
        <v>50102040</v>
      </c>
      <c r="C25" s="208">
        <v>15000</v>
      </c>
      <c r="D25" s="240"/>
      <c r="E25" s="241">
        <f t="shared" si="0"/>
        <v>15000</v>
      </c>
      <c r="F25" s="240">
        <v>15000</v>
      </c>
      <c r="G25" s="65">
        <v>15000</v>
      </c>
    </row>
    <row r="26" spans="1:7" x14ac:dyDescent="0.25">
      <c r="A26" s="72" t="s">
        <v>47</v>
      </c>
      <c r="B26" s="52">
        <v>50102150</v>
      </c>
      <c r="C26" s="208">
        <v>15000</v>
      </c>
      <c r="D26" s="240"/>
      <c r="E26" s="241">
        <f t="shared" si="0"/>
        <v>15000</v>
      </c>
      <c r="F26" s="240">
        <v>15000</v>
      </c>
      <c r="G26" s="65">
        <v>15000</v>
      </c>
    </row>
    <row r="27" spans="1:7" x14ac:dyDescent="0.25">
      <c r="A27" s="72" t="s">
        <v>46</v>
      </c>
      <c r="B27" s="52">
        <v>50102140</v>
      </c>
      <c r="C27" s="208">
        <v>21841.72</v>
      </c>
      <c r="D27" s="240"/>
      <c r="E27" s="241">
        <f t="shared" si="0"/>
        <v>29369</v>
      </c>
      <c r="F27" s="240">
        <v>29369</v>
      </c>
      <c r="G27" s="65">
        <v>30556</v>
      </c>
    </row>
    <row r="28" spans="1:7" x14ac:dyDescent="0.25">
      <c r="A28" s="72" t="s">
        <v>39</v>
      </c>
      <c r="B28" s="52">
        <v>50102990</v>
      </c>
      <c r="C28" s="208">
        <v>21456.28</v>
      </c>
      <c r="D28" s="240"/>
      <c r="E28" s="241">
        <f t="shared" si="0"/>
        <v>29369</v>
      </c>
      <c r="F28" s="240">
        <v>29369</v>
      </c>
      <c r="G28" s="65">
        <v>30556</v>
      </c>
    </row>
    <row r="29" spans="1:7" x14ac:dyDescent="0.25">
      <c r="A29" s="72" t="s">
        <v>40</v>
      </c>
      <c r="B29" s="52">
        <v>50103010</v>
      </c>
      <c r="C29" s="208">
        <v>68912.800000000003</v>
      </c>
      <c r="D29" s="240">
        <v>20888.64</v>
      </c>
      <c r="E29" s="241">
        <f t="shared" si="0"/>
        <v>7305.6000000000022</v>
      </c>
      <c r="F29" s="240">
        <v>28194.240000000002</v>
      </c>
      <c r="G29" s="65">
        <v>44000.639999999999</v>
      </c>
    </row>
    <row r="30" spans="1:7" x14ac:dyDescent="0.25">
      <c r="A30" s="72" t="s">
        <v>41</v>
      </c>
      <c r="B30" s="52">
        <v>50103020</v>
      </c>
      <c r="C30" s="208">
        <v>3600</v>
      </c>
      <c r="D30" s="240">
        <v>1800</v>
      </c>
      <c r="E30" s="241">
        <f t="shared" si="0"/>
        <v>600</v>
      </c>
      <c r="F30" s="240">
        <v>2400</v>
      </c>
      <c r="G30" s="65">
        <v>3600</v>
      </c>
    </row>
    <row r="31" spans="1:7" x14ac:dyDescent="0.25">
      <c r="A31" s="72" t="s">
        <v>42</v>
      </c>
      <c r="B31" s="52">
        <v>50103030</v>
      </c>
      <c r="C31" s="208">
        <v>4200</v>
      </c>
      <c r="D31" s="240">
        <v>3500</v>
      </c>
      <c r="E31" s="241">
        <f t="shared" si="0"/>
        <v>700</v>
      </c>
      <c r="F31" s="240">
        <v>4200</v>
      </c>
      <c r="G31" s="65">
        <v>4200</v>
      </c>
    </row>
    <row r="32" spans="1:7" x14ac:dyDescent="0.25">
      <c r="A32" s="72" t="s">
        <v>43</v>
      </c>
      <c r="B32" s="52">
        <v>50103040</v>
      </c>
      <c r="C32" s="208">
        <v>3192.84</v>
      </c>
      <c r="D32" s="240">
        <v>1629.01</v>
      </c>
      <c r="E32" s="241">
        <f t="shared" si="0"/>
        <v>547.83999999999992</v>
      </c>
      <c r="F32" s="240">
        <v>2176.85</v>
      </c>
      <c r="G32" s="65">
        <v>3666.72</v>
      </c>
    </row>
    <row r="33" spans="1:8" x14ac:dyDescent="0.25">
      <c r="A33" s="72" t="s">
        <v>44</v>
      </c>
      <c r="B33" s="52">
        <v>50104990</v>
      </c>
      <c r="C33" s="208">
        <f>58532.11-15000</f>
        <v>43532.11</v>
      </c>
      <c r="D33" s="240"/>
      <c r="E33" s="241">
        <f t="shared" si="0"/>
        <v>15000</v>
      </c>
      <c r="F33" s="240">
        <v>15000</v>
      </c>
      <c r="G33" s="65">
        <v>29451.52</v>
      </c>
    </row>
    <row r="34" spans="1:8" x14ac:dyDescent="0.25">
      <c r="A34" s="72" t="s">
        <v>45</v>
      </c>
      <c r="B34" s="52">
        <v>50102990</v>
      </c>
      <c r="C34" s="208">
        <v>15000</v>
      </c>
      <c r="D34" s="240"/>
      <c r="E34" s="241">
        <f t="shared" si="0"/>
        <v>28307.43</v>
      </c>
      <c r="F34" s="240">
        <v>28307.43</v>
      </c>
      <c r="G34" s="65">
        <v>15000</v>
      </c>
    </row>
    <row r="35" spans="1:8" ht="17.25" customHeight="1" x14ac:dyDescent="0.25">
      <c r="A35" s="27" t="s">
        <v>58</v>
      </c>
      <c r="B35" s="62"/>
      <c r="C35" s="63">
        <f>SUM(C17:C34)</f>
        <v>622583.27</v>
      </c>
      <c r="D35" s="63">
        <f>SUM(D17:D34)</f>
        <v>459907.65</v>
      </c>
      <c r="E35" s="63">
        <f>SUM(E17:E34)</f>
        <v>214078.87</v>
      </c>
      <c r="F35" s="63">
        <f>SUM(F17:F34)</f>
        <v>673986.52</v>
      </c>
      <c r="G35" s="63">
        <f>SUM(G18:G34)</f>
        <v>779702.88</v>
      </c>
    </row>
    <row r="36" spans="1:8" x14ac:dyDescent="0.25">
      <c r="A36" s="24" t="s">
        <v>14</v>
      </c>
      <c r="B36" s="23"/>
      <c r="C36" s="23"/>
      <c r="D36" s="23"/>
      <c r="E36" s="23"/>
      <c r="F36" s="23"/>
      <c r="G36" s="23"/>
    </row>
    <row r="37" spans="1:8" x14ac:dyDescent="0.25">
      <c r="A37" s="54" t="s">
        <v>17</v>
      </c>
      <c r="B37" s="29">
        <v>50203010</v>
      </c>
      <c r="C37" s="14">
        <v>39889.72</v>
      </c>
      <c r="D37" s="14">
        <v>22021.06</v>
      </c>
      <c r="E37" s="64">
        <f>F37-D37</f>
        <v>4868.0499999999993</v>
      </c>
      <c r="F37" s="64">
        <v>26889.11</v>
      </c>
      <c r="G37" s="9">
        <v>60000</v>
      </c>
    </row>
    <row r="38" spans="1:8" x14ac:dyDescent="0.25">
      <c r="A38" s="54" t="s">
        <v>158</v>
      </c>
      <c r="B38" s="29">
        <v>50201010</v>
      </c>
      <c r="C38" s="14">
        <v>29500</v>
      </c>
      <c r="D38" s="14">
        <v>13580</v>
      </c>
      <c r="E38" s="64">
        <f>F38-D38</f>
        <v>37240</v>
      </c>
      <c r="F38" s="64">
        <v>50820</v>
      </c>
      <c r="G38" s="9">
        <v>78000</v>
      </c>
    </row>
    <row r="39" spans="1:8" x14ac:dyDescent="0.25">
      <c r="A39" s="54" t="s">
        <v>27</v>
      </c>
      <c r="B39" s="31">
        <v>50202010</v>
      </c>
      <c r="C39" s="14"/>
      <c r="D39" s="14"/>
      <c r="E39" s="64"/>
      <c r="F39" s="64"/>
      <c r="G39" s="33"/>
    </row>
    <row r="40" spans="1:8" x14ac:dyDescent="0.25">
      <c r="A40" s="54" t="s">
        <v>29</v>
      </c>
      <c r="B40" s="31">
        <v>50205020</v>
      </c>
      <c r="C40" s="14"/>
      <c r="D40" s="14"/>
      <c r="E40" s="64"/>
      <c r="F40" s="64"/>
      <c r="G40" s="33"/>
    </row>
    <row r="41" spans="1:8" x14ac:dyDescent="0.25">
      <c r="A41" s="54" t="s">
        <v>163</v>
      </c>
      <c r="B41" s="31">
        <v>5021990</v>
      </c>
      <c r="C41" s="14"/>
      <c r="D41" s="14">
        <v>134750</v>
      </c>
      <c r="E41" s="64"/>
      <c r="F41" s="64"/>
      <c r="G41" s="33">
        <v>350000</v>
      </c>
    </row>
    <row r="42" spans="1:8" x14ac:dyDescent="0.25">
      <c r="A42" s="54" t="s">
        <v>31</v>
      </c>
      <c r="B42" s="31">
        <v>50213990</v>
      </c>
      <c r="C42" s="14">
        <v>88032</v>
      </c>
      <c r="D42" s="14">
        <v>340</v>
      </c>
      <c r="E42" s="64">
        <f>F42-D42</f>
        <v>680</v>
      </c>
      <c r="F42" s="64">
        <v>1020</v>
      </c>
      <c r="G42" s="33">
        <v>25000</v>
      </c>
    </row>
    <row r="43" spans="1:8" x14ac:dyDescent="0.25">
      <c r="A43" s="54" t="s">
        <v>160</v>
      </c>
      <c r="B43" s="31"/>
      <c r="C43" s="14"/>
      <c r="D43" s="14"/>
      <c r="E43" s="64">
        <f>F43-D43</f>
        <v>1400</v>
      </c>
      <c r="F43" s="64">
        <v>1400</v>
      </c>
      <c r="G43" s="33">
        <v>5000</v>
      </c>
      <c r="H43" s="16" t="s">
        <v>239</v>
      </c>
    </row>
    <row r="44" spans="1:8" x14ac:dyDescent="0.25">
      <c r="A44" s="54" t="s">
        <v>164</v>
      </c>
      <c r="B44" s="38">
        <v>50203090</v>
      </c>
      <c r="C44" s="14"/>
      <c r="D44" s="14"/>
      <c r="E44" s="64"/>
      <c r="F44" s="64"/>
      <c r="G44" s="33"/>
    </row>
    <row r="45" spans="1:8" x14ac:dyDescent="0.25">
      <c r="A45" s="54" t="s">
        <v>20</v>
      </c>
      <c r="B45" s="31">
        <v>5021990</v>
      </c>
      <c r="C45" s="14">
        <v>449530</v>
      </c>
      <c r="D45" s="14"/>
      <c r="E45" s="64">
        <f>F45-D45</f>
        <v>408930</v>
      </c>
      <c r="F45" s="64">
        <v>408930</v>
      </c>
      <c r="G45" s="33"/>
    </row>
    <row r="46" spans="1:8" x14ac:dyDescent="0.25">
      <c r="A46" s="22" t="s">
        <v>179</v>
      </c>
      <c r="B46" s="31"/>
      <c r="C46" s="14"/>
      <c r="D46" s="14"/>
      <c r="E46" s="64"/>
      <c r="F46" s="14"/>
      <c r="G46" s="33">
        <v>60000</v>
      </c>
    </row>
    <row r="47" spans="1:8" x14ac:dyDescent="0.25">
      <c r="A47" s="54" t="s">
        <v>212</v>
      </c>
      <c r="B47" s="31"/>
      <c r="C47" s="14"/>
      <c r="D47" s="14"/>
      <c r="E47" s="64"/>
      <c r="F47" s="14"/>
      <c r="G47" s="33">
        <v>2400</v>
      </c>
    </row>
    <row r="48" spans="1:8" x14ac:dyDescent="0.25">
      <c r="A48" s="54"/>
      <c r="B48" s="31"/>
      <c r="C48" s="14"/>
      <c r="D48" s="14"/>
      <c r="E48" s="64"/>
      <c r="F48" s="14"/>
      <c r="G48" s="33"/>
    </row>
    <row r="49" spans="1:9" x14ac:dyDescent="0.25">
      <c r="A49" s="54"/>
      <c r="B49" s="31"/>
      <c r="C49" s="14"/>
      <c r="D49" s="14"/>
      <c r="E49" s="64"/>
      <c r="F49" s="14"/>
      <c r="G49" s="33"/>
    </row>
    <row r="50" spans="1:9" x14ac:dyDescent="0.25">
      <c r="A50" s="54"/>
      <c r="B50" s="31"/>
      <c r="C50" s="14"/>
      <c r="D50" s="14"/>
      <c r="E50" s="64"/>
      <c r="F50" s="14"/>
      <c r="G50" s="33"/>
    </row>
    <row r="51" spans="1:9" x14ac:dyDescent="0.25">
      <c r="A51" s="54"/>
      <c r="B51" s="31"/>
      <c r="C51" s="14"/>
      <c r="D51" s="14"/>
      <c r="E51" s="64"/>
      <c r="F51" s="14"/>
      <c r="G51" s="33"/>
    </row>
    <row r="52" spans="1:9" ht="13.5" customHeight="1" x14ac:dyDescent="0.25">
      <c r="A52" s="11" t="s">
        <v>24</v>
      </c>
      <c r="B52" s="127"/>
      <c r="C52" s="71">
        <f>SUM(C37:C47)</f>
        <v>606951.72</v>
      </c>
      <c r="D52" s="71">
        <f t="shared" ref="D52:F52" si="1">SUM(D37:D47)</f>
        <v>170691.06</v>
      </c>
      <c r="E52" s="71">
        <f>SUM(E37:E51)</f>
        <v>453118.05</v>
      </c>
      <c r="F52" s="71">
        <f t="shared" si="1"/>
        <v>489059.11</v>
      </c>
      <c r="G52" s="71">
        <f>SUM(G37:G50)</f>
        <v>580400</v>
      </c>
    </row>
    <row r="53" spans="1:9" ht="14.25" customHeight="1" x14ac:dyDescent="0.25">
      <c r="A53" s="24" t="s">
        <v>13</v>
      </c>
      <c r="B53" s="50"/>
      <c r="C53" s="23"/>
      <c r="D53" s="23"/>
      <c r="E53" s="23"/>
      <c r="F53" s="23"/>
      <c r="G53" s="10"/>
    </row>
    <row r="54" spans="1:9" ht="14.25" customHeight="1" x14ac:dyDescent="0.25">
      <c r="A54" s="22" t="s">
        <v>238</v>
      </c>
      <c r="B54" s="50"/>
      <c r="C54" s="23"/>
      <c r="D54" s="30">
        <v>16800</v>
      </c>
      <c r="E54" s="30"/>
      <c r="F54" s="30">
        <v>25000</v>
      </c>
      <c r="G54" s="10"/>
    </row>
    <row r="55" spans="1:9" ht="16.5" customHeight="1" x14ac:dyDescent="0.25">
      <c r="A55" s="54" t="s">
        <v>202</v>
      </c>
      <c r="B55" s="50"/>
      <c r="C55" s="64"/>
      <c r="D55" s="23"/>
      <c r="E55" s="23"/>
      <c r="F55" s="14"/>
      <c r="G55" s="10">
        <v>182000</v>
      </c>
    </row>
    <row r="56" spans="1:9" x14ac:dyDescent="0.25">
      <c r="A56" s="27" t="s">
        <v>64</v>
      </c>
      <c r="B56" s="26"/>
      <c r="C56" s="27">
        <f>SUM(C55:C55)</f>
        <v>0</v>
      </c>
      <c r="D56" s="27">
        <f>SUM(D54:D55)</f>
        <v>16800</v>
      </c>
      <c r="E56" s="27"/>
      <c r="F56" s="27">
        <f>SUM(F54:F55)</f>
        <v>25000</v>
      </c>
      <c r="G56" s="27">
        <f>SUM(G55:G55)</f>
        <v>182000</v>
      </c>
      <c r="I56" s="35"/>
    </row>
    <row r="57" spans="1:9" x14ac:dyDescent="0.25">
      <c r="A57" s="69" t="s">
        <v>61</v>
      </c>
      <c r="B57" s="66"/>
      <c r="C57" s="27">
        <f>C35+C56+C52</f>
        <v>1229534.99</v>
      </c>
      <c r="D57" s="27">
        <f>D35+D56+D52</f>
        <v>647398.71</v>
      </c>
      <c r="E57" s="27"/>
      <c r="F57" s="27">
        <f>F35+F56+F52</f>
        <v>1188045.6299999999</v>
      </c>
      <c r="G57" s="27">
        <f>G35+G56+G52</f>
        <v>1542102.88</v>
      </c>
      <c r="H57" s="35"/>
    </row>
    <row r="59" spans="1:9" ht="35.25" customHeight="1" x14ac:dyDescent="0.35">
      <c r="A59" s="152" t="s">
        <v>68</v>
      </c>
      <c r="B59" s="154" t="s">
        <v>69</v>
      </c>
      <c r="C59" s="154"/>
      <c r="D59" s="154"/>
      <c r="E59" s="154" t="s">
        <v>315</v>
      </c>
      <c r="F59" s="154"/>
      <c r="G59" s="152"/>
    </row>
    <row r="60" spans="1:9" ht="33" customHeight="1" x14ac:dyDescent="0.35">
      <c r="A60" s="152"/>
      <c r="B60" s="154"/>
      <c r="C60" s="154"/>
      <c r="D60" s="154"/>
      <c r="E60" s="154"/>
      <c r="F60" s="154"/>
      <c r="G60" s="152"/>
    </row>
    <row r="61" spans="1:9" ht="21" x14ac:dyDescent="0.35">
      <c r="A61" s="153" t="s">
        <v>219</v>
      </c>
      <c r="B61" s="155" t="s">
        <v>157</v>
      </c>
      <c r="C61" s="154"/>
      <c r="D61" s="154"/>
      <c r="E61" s="180" t="s">
        <v>167</v>
      </c>
      <c r="F61" s="181"/>
      <c r="G61" s="182"/>
    </row>
    <row r="62" spans="1:9" ht="21" x14ac:dyDescent="0.35">
      <c r="A62" s="152" t="s">
        <v>268</v>
      </c>
      <c r="B62" s="154" t="s">
        <v>257</v>
      </c>
      <c r="C62" s="154"/>
      <c r="D62" s="154"/>
      <c r="E62" s="181" t="s">
        <v>63</v>
      </c>
      <c r="F62" s="181"/>
      <c r="G62" s="182"/>
    </row>
    <row r="63" spans="1:9" ht="21" x14ac:dyDescent="0.35">
      <c r="A63" s="152"/>
      <c r="B63" s="152"/>
      <c r="C63" s="152"/>
      <c r="D63" s="152"/>
      <c r="E63" s="152"/>
      <c r="F63" s="152"/>
      <c r="G63" s="152"/>
    </row>
    <row r="64" spans="1:9" ht="21" x14ac:dyDescent="0.35">
      <c r="A64" s="152"/>
      <c r="B64" s="152"/>
      <c r="C64" s="152"/>
      <c r="D64" s="152"/>
      <c r="E64" s="152"/>
      <c r="F64" s="152"/>
      <c r="G64" s="152"/>
    </row>
  </sheetData>
  <sheetProtection password="CCFC" sheet="1" objects="1" scenarios="1" selectLockedCells="1" selectUnlockedCells="1"/>
  <mergeCells count="6">
    <mergeCell ref="G23:G24"/>
    <mergeCell ref="A3:G3"/>
    <mergeCell ref="A4:G4"/>
    <mergeCell ref="A10:A11"/>
    <mergeCell ref="B10:B11"/>
    <mergeCell ref="D10:F10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73"/>
  <sheetViews>
    <sheetView topLeftCell="A40" zoomScale="98" zoomScaleNormal="98" workbookViewId="0">
      <selection activeCell="C74" sqref="C74"/>
    </sheetView>
  </sheetViews>
  <sheetFormatPr defaultRowHeight="15" x14ac:dyDescent="0.25"/>
  <cols>
    <col min="1" max="1" width="44.28515625" style="4" customWidth="1"/>
    <col min="2" max="2" width="10.140625" style="4" customWidth="1"/>
    <col min="3" max="3" width="15" style="193" customWidth="1"/>
    <col min="4" max="4" width="15.28515625" style="4" customWidth="1"/>
    <col min="5" max="5" width="15.5703125" style="4" customWidth="1"/>
    <col min="6" max="6" width="14.7109375" style="4" customWidth="1"/>
    <col min="7" max="7" width="15.42578125" style="16" customWidth="1"/>
    <col min="8" max="8" width="13.85546875" style="4" bestFit="1" customWidth="1"/>
    <col min="9" max="9" width="13.28515625" style="4" bestFit="1" customWidth="1"/>
    <col min="10" max="10" width="11.5703125" style="4" bestFit="1" customWidth="1"/>
    <col min="11" max="16384" width="9.140625" style="4"/>
  </cols>
  <sheetData>
    <row r="1" spans="1:7" x14ac:dyDescent="0.25">
      <c r="A1" s="4" t="s">
        <v>9</v>
      </c>
      <c r="G1" s="16" t="s">
        <v>96</v>
      </c>
    </row>
    <row r="2" spans="1:7" ht="20.25" customHeight="1" x14ac:dyDescent="0.25"/>
    <row r="3" spans="1:7" ht="21" x14ac:dyDescent="0.35">
      <c r="A3" s="582" t="s">
        <v>10</v>
      </c>
      <c r="B3" s="582"/>
      <c r="C3" s="582"/>
      <c r="D3" s="582"/>
      <c r="E3" s="582"/>
      <c r="F3" s="582"/>
      <c r="G3" s="582"/>
    </row>
    <row r="4" spans="1:7" ht="21" x14ac:dyDescent="0.35">
      <c r="A4" s="582" t="s">
        <v>127</v>
      </c>
      <c r="B4" s="582"/>
      <c r="C4" s="582"/>
      <c r="D4" s="582"/>
      <c r="E4" s="582"/>
      <c r="F4" s="582"/>
      <c r="G4" s="582"/>
    </row>
    <row r="5" spans="1:7" ht="21.75" customHeight="1" x14ac:dyDescent="0.35">
      <c r="A5" s="155"/>
      <c r="B5" s="154"/>
      <c r="C5" s="194"/>
      <c r="D5" s="154"/>
      <c r="E5" s="154"/>
      <c r="F5" s="154"/>
      <c r="G5" s="152"/>
    </row>
    <row r="6" spans="1:7" ht="21.75" customHeight="1" x14ac:dyDescent="0.35">
      <c r="A6" s="155" t="s">
        <v>88</v>
      </c>
      <c r="B6" s="154"/>
      <c r="C6" s="194"/>
      <c r="D6" s="154"/>
      <c r="E6" s="154"/>
      <c r="F6" s="154"/>
      <c r="G6" s="152"/>
    </row>
    <row r="7" spans="1:7" ht="21.75" customHeight="1" x14ac:dyDescent="0.35">
      <c r="A7" s="154" t="s">
        <v>173</v>
      </c>
      <c r="B7" s="154"/>
      <c r="C7" s="194"/>
      <c r="D7" s="154"/>
      <c r="E7" s="154"/>
      <c r="F7" s="154"/>
      <c r="G7" s="152"/>
    </row>
    <row r="8" spans="1:7" ht="21" x14ac:dyDescent="0.35">
      <c r="A8" s="154" t="s">
        <v>121</v>
      </c>
      <c r="B8" s="154"/>
      <c r="C8" s="194"/>
      <c r="D8" s="154"/>
      <c r="E8" s="154"/>
      <c r="F8" s="154"/>
      <c r="G8" s="152"/>
    </row>
    <row r="9" spans="1:7" ht="15" customHeight="1" x14ac:dyDescent="0.35">
      <c r="A9" s="154"/>
      <c r="B9" s="154"/>
      <c r="C9" s="194"/>
      <c r="D9" s="154"/>
      <c r="E9" s="154"/>
      <c r="F9" s="154"/>
      <c r="G9" s="152"/>
    </row>
    <row r="10" spans="1:7" x14ac:dyDescent="0.25">
      <c r="A10" s="575" t="s">
        <v>0</v>
      </c>
      <c r="B10" s="577" t="s">
        <v>1</v>
      </c>
      <c r="C10" s="17" t="s">
        <v>2</v>
      </c>
      <c r="D10" s="579" t="s">
        <v>8</v>
      </c>
      <c r="E10" s="580"/>
      <c r="F10" s="581"/>
      <c r="G10" s="17" t="s">
        <v>3</v>
      </c>
    </row>
    <row r="11" spans="1:7" ht="45" x14ac:dyDescent="0.25">
      <c r="A11" s="576"/>
      <c r="B11" s="578"/>
      <c r="C11" s="18" t="s">
        <v>4</v>
      </c>
      <c r="D11" s="163" t="s">
        <v>102</v>
      </c>
      <c r="E11" s="163" t="s">
        <v>103</v>
      </c>
      <c r="F11" s="2" t="s">
        <v>5</v>
      </c>
      <c r="G11" s="18" t="s">
        <v>6</v>
      </c>
    </row>
    <row r="12" spans="1:7" x14ac:dyDescent="0.25">
      <c r="A12" s="3"/>
      <c r="B12" s="3"/>
      <c r="C12" s="18">
        <v>2016</v>
      </c>
      <c r="D12" s="3" t="s">
        <v>4</v>
      </c>
      <c r="E12" s="3" t="s">
        <v>7</v>
      </c>
      <c r="F12" s="3"/>
      <c r="G12" s="23"/>
    </row>
    <row r="13" spans="1:7" x14ac:dyDescent="0.25">
      <c r="A13" s="3"/>
      <c r="B13" s="3"/>
      <c r="C13" s="18"/>
      <c r="D13" s="3">
        <v>2017</v>
      </c>
      <c r="E13" s="3">
        <v>2017</v>
      </c>
      <c r="F13" s="3"/>
      <c r="G13" s="18">
        <v>2018</v>
      </c>
    </row>
    <row r="14" spans="1:7" x14ac:dyDescent="0.2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ht="6.75" customHeight="1" x14ac:dyDescent="0.25">
      <c r="A15" s="144"/>
      <c r="B15" s="2"/>
      <c r="C15" s="197"/>
      <c r="D15" s="2"/>
      <c r="E15" s="2"/>
      <c r="F15" s="2"/>
      <c r="G15" s="17"/>
    </row>
    <row r="16" spans="1:7" x14ac:dyDescent="0.25">
      <c r="A16" s="253" t="s">
        <v>11</v>
      </c>
      <c r="B16" s="3"/>
      <c r="C16" s="198"/>
      <c r="D16" s="3"/>
      <c r="E16" s="3"/>
      <c r="F16" s="3"/>
      <c r="G16" s="18"/>
    </row>
    <row r="17" spans="1:10" hidden="1" x14ac:dyDescent="0.25">
      <c r="A17" s="186" t="s">
        <v>57</v>
      </c>
      <c r="B17" s="5"/>
      <c r="C17" s="199"/>
      <c r="D17" s="5"/>
      <c r="E17" s="5"/>
      <c r="F17" s="5"/>
      <c r="G17" s="23"/>
    </row>
    <row r="18" spans="1:10" ht="18.75" customHeight="1" x14ac:dyDescent="0.25">
      <c r="A18" s="186" t="s">
        <v>56</v>
      </c>
      <c r="B18" s="38">
        <v>50101010</v>
      </c>
      <c r="C18" s="136">
        <v>1354700</v>
      </c>
      <c r="D18" s="70">
        <v>646538.05000000005</v>
      </c>
      <c r="E18" s="59">
        <f>F18-D18</f>
        <v>760603.99</v>
      </c>
      <c r="F18" s="136">
        <v>1407142.04</v>
      </c>
      <c r="G18" s="30">
        <v>1679184</v>
      </c>
      <c r="I18" s="139"/>
      <c r="J18"/>
    </row>
    <row r="19" spans="1:10" ht="22.5" hidden="1" customHeight="1" x14ac:dyDescent="0.25">
      <c r="A19" s="254" t="s">
        <v>55</v>
      </c>
      <c r="B19" s="52">
        <v>50101</v>
      </c>
      <c r="C19" s="199"/>
      <c r="D19" s="70"/>
      <c r="E19" s="59">
        <f t="shared" ref="E19:E36" si="0">F19-D19</f>
        <v>0</v>
      </c>
      <c r="F19" s="78"/>
      <c r="G19" s="30"/>
    </row>
    <row r="20" spans="1:10" ht="22.5" hidden="1" customHeight="1" x14ac:dyDescent="0.25">
      <c r="A20" s="254" t="s">
        <v>54</v>
      </c>
      <c r="B20" s="52"/>
      <c r="C20" s="199"/>
      <c r="D20" s="70"/>
      <c r="E20" s="59">
        <f t="shared" si="0"/>
        <v>0</v>
      </c>
      <c r="F20" s="78"/>
      <c r="G20" s="30"/>
    </row>
    <row r="21" spans="1:10" ht="22.5" hidden="1" customHeight="1" x14ac:dyDescent="0.25">
      <c r="A21" s="186" t="s">
        <v>53</v>
      </c>
      <c r="B21" s="5"/>
      <c r="C21" s="199"/>
      <c r="D21" s="70"/>
      <c r="E21" s="59">
        <f t="shared" si="0"/>
        <v>0</v>
      </c>
      <c r="F21" s="78"/>
      <c r="G21" s="23"/>
    </row>
    <row r="22" spans="1:10" ht="15.75" customHeight="1" x14ac:dyDescent="0.25">
      <c r="A22" s="186" t="s">
        <v>98</v>
      </c>
      <c r="B22" s="5"/>
      <c r="C22" s="78">
        <v>895170</v>
      </c>
      <c r="D22" s="70">
        <v>319970</v>
      </c>
      <c r="E22" s="59">
        <f t="shared" si="0"/>
        <v>559001</v>
      </c>
      <c r="F22" s="78">
        <v>878971</v>
      </c>
      <c r="G22" s="14">
        <v>250000</v>
      </c>
    </row>
    <row r="23" spans="1:10" ht="14.25" customHeight="1" x14ac:dyDescent="0.25">
      <c r="A23" s="254" t="s">
        <v>52</v>
      </c>
      <c r="B23" s="52">
        <v>50102010</v>
      </c>
      <c r="C23" s="78">
        <v>139500</v>
      </c>
      <c r="D23" s="70">
        <v>68000</v>
      </c>
      <c r="E23" s="59">
        <f t="shared" si="0"/>
        <v>67500</v>
      </c>
      <c r="F23" s="78">
        <v>135500</v>
      </c>
      <c r="G23" s="30">
        <v>144000</v>
      </c>
    </row>
    <row r="24" spans="1:10" ht="17.25" customHeight="1" x14ac:dyDescent="0.25">
      <c r="A24" s="254" t="s">
        <v>51</v>
      </c>
      <c r="B24" s="52">
        <v>50102020</v>
      </c>
      <c r="C24" s="78">
        <v>81000</v>
      </c>
      <c r="D24" s="70">
        <v>33750</v>
      </c>
      <c r="E24" s="59">
        <f t="shared" si="0"/>
        <v>47250</v>
      </c>
      <c r="F24" s="78">
        <v>81000</v>
      </c>
      <c r="G24" s="30">
        <v>81000</v>
      </c>
    </row>
    <row r="25" spans="1:10" ht="17.25" customHeight="1" x14ac:dyDescent="0.25">
      <c r="A25" s="254" t="s">
        <v>48</v>
      </c>
      <c r="B25" s="52">
        <v>50102030</v>
      </c>
      <c r="C25" s="78">
        <v>81000</v>
      </c>
      <c r="D25" s="70">
        <v>33750</v>
      </c>
      <c r="E25" s="59">
        <f t="shared" si="0"/>
        <v>47250</v>
      </c>
      <c r="F25" s="78">
        <v>81000</v>
      </c>
      <c r="G25" s="30">
        <v>81000</v>
      </c>
    </row>
    <row r="26" spans="1:10" ht="18.75" customHeight="1" x14ac:dyDescent="0.25">
      <c r="A26" s="254" t="s">
        <v>49</v>
      </c>
      <c r="B26" s="52">
        <v>50102040</v>
      </c>
      <c r="C26" s="78">
        <v>30000</v>
      </c>
      <c r="D26" s="70"/>
      <c r="E26" s="59">
        <f t="shared" si="0"/>
        <v>30000</v>
      </c>
      <c r="F26" s="78">
        <v>30000</v>
      </c>
      <c r="G26" s="30">
        <v>30000</v>
      </c>
    </row>
    <row r="27" spans="1:10" ht="22.5" hidden="1" customHeight="1" x14ac:dyDescent="0.25">
      <c r="A27" s="254" t="s">
        <v>50</v>
      </c>
      <c r="B27" s="52">
        <v>50102080</v>
      </c>
      <c r="C27" s="199"/>
      <c r="D27" s="70"/>
      <c r="E27" s="59">
        <f t="shared" si="0"/>
        <v>0</v>
      </c>
      <c r="F27" s="78"/>
      <c r="G27" s="23"/>
    </row>
    <row r="28" spans="1:10" ht="18" customHeight="1" x14ac:dyDescent="0.25">
      <c r="A28" s="254" t="s">
        <v>47</v>
      </c>
      <c r="B28" s="52">
        <v>50102150</v>
      </c>
      <c r="C28" s="78">
        <v>30000</v>
      </c>
      <c r="D28" s="70"/>
      <c r="E28" s="59">
        <f t="shared" si="0"/>
        <v>29500</v>
      </c>
      <c r="F28" s="78">
        <v>29500</v>
      </c>
      <c r="G28" s="30">
        <v>30000</v>
      </c>
    </row>
    <row r="29" spans="1:10" ht="15.75" customHeight="1" x14ac:dyDescent="0.25">
      <c r="A29" s="254" t="s">
        <v>46</v>
      </c>
      <c r="B29" s="52">
        <v>50102140</v>
      </c>
      <c r="C29" s="78">
        <f>221094/2-2158</f>
        <v>108389</v>
      </c>
      <c r="D29" s="70"/>
      <c r="E29" s="59">
        <f t="shared" si="0"/>
        <v>124072.6</v>
      </c>
      <c r="F29" s="78">
        <v>124072.6</v>
      </c>
      <c r="G29" s="30">
        <v>168496</v>
      </c>
    </row>
    <row r="30" spans="1:10" ht="19.5" customHeight="1" x14ac:dyDescent="0.25">
      <c r="A30" s="254" t="s">
        <v>39</v>
      </c>
      <c r="B30" s="52">
        <v>50102990</v>
      </c>
      <c r="C30" s="78">
        <v>112705</v>
      </c>
      <c r="D30" s="70"/>
      <c r="E30" s="59">
        <f t="shared" si="0"/>
        <v>125247</v>
      </c>
      <c r="F30" s="78">
        <v>125247</v>
      </c>
      <c r="G30" s="30">
        <v>139932</v>
      </c>
    </row>
    <row r="31" spans="1:10" ht="18" customHeight="1" x14ac:dyDescent="0.25">
      <c r="A31" s="254" t="s">
        <v>40</v>
      </c>
      <c r="B31" s="52">
        <v>50103010</v>
      </c>
      <c r="C31" s="78">
        <v>160853.51999999999</v>
      </c>
      <c r="D31" s="70">
        <v>74389.56</v>
      </c>
      <c r="E31" s="59">
        <f t="shared" si="0"/>
        <v>90578.6</v>
      </c>
      <c r="F31" s="78">
        <v>164968.16</v>
      </c>
      <c r="G31" s="30">
        <v>242634.23999999999</v>
      </c>
    </row>
    <row r="32" spans="1:10" ht="18" customHeight="1" x14ac:dyDescent="0.25">
      <c r="A32" s="254" t="s">
        <v>41</v>
      </c>
      <c r="B32" s="52">
        <v>50103020</v>
      </c>
      <c r="C32" s="78">
        <v>7100</v>
      </c>
      <c r="D32" s="70">
        <v>3100</v>
      </c>
      <c r="E32" s="59">
        <f t="shared" si="0"/>
        <v>3300</v>
      </c>
      <c r="F32" s="78">
        <v>6400</v>
      </c>
      <c r="G32" s="30">
        <v>7200</v>
      </c>
    </row>
    <row r="33" spans="1:9" ht="18" customHeight="1" x14ac:dyDescent="0.25">
      <c r="A33" s="254" t="s">
        <v>42</v>
      </c>
      <c r="B33" s="52">
        <v>50103030</v>
      </c>
      <c r="C33" s="78">
        <v>13800</v>
      </c>
      <c r="D33" s="70">
        <v>9112.5</v>
      </c>
      <c r="E33" s="59">
        <f t="shared" si="0"/>
        <v>4637.5</v>
      </c>
      <c r="F33" s="78">
        <v>13750</v>
      </c>
      <c r="G33" s="30">
        <v>13500</v>
      </c>
    </row>
    <row r="34" spans="1:9" ht="18" customHeight="1" x14ac:dyDescent="0.25">
      <c r="A34" s="254" t="s">
        <v>43</v>
      </c>
      <c r="B34" s="52">
        <v>50103040</v>
      </c>
      <c r="C34" s="78">
        <v>6294.46</v>
      </c>
      <c r="D34" s="70">
        <v>2799.08</v>
      </c>
      <c r="E34" s="59">
        <f t="shared" si="0"/>
        <v>2910.5200000000004</v>
      </c>
      <c r="F34" s="78">
        <v>5709.6</v>
      </c>
      <c r="G34" s="30">
        <v>20219.52</v>
      </c>
    </row>
    <row r="35" spans="1:9" ht="15" customHeight="1" x14ac:dyDescent="0.25">
      <c r="A35" s="254" t="s">
        <v>44</v>
      </c>
      <c r="B35" s="52">
        <v>50104990</v>
      </c>
      <c r="C35" s="78">
        <v>144559.20000000001</v>
      </c>
      <c r="D35" s="70"/>
      <c r="E35" s="59">
        <f t="shared" si="0"/>
        <v>102003.82</v>
      </c>
      <c r="F35" s="78">
        <v>102003.82</v>
      </c>
      <c r="G35" s="30">
        <v>162405.54</v>
      </c>
    </row>
    <row r="36" spans="1:9" ht="16.5" customHeight="1" x14ac:dyDescent="0.25">
      <c r="A36" s="254" t="s">
        <v>45</v>
      </c>
      <c r="B36" s="52">
        <v>50102990</v>
      </c>
      <c r="C36" s="70">
        <v>25000</v>
      </c>
      <c r="D36" s="70"/>
      <c r="E36" s="59">
        <f t="shared" si="0"/>
        <v>25000</v>
      </c>
      <c r="F36" s="70">
        <v>25000</v>
      </c>
      <c r="G36" s="30">
        <v>25000</v>
      </c>
    </row>
    <row r="37" spans="1:9" ht="18" customHeight="1" x14ac:dyDescent="0.25">
      <c r="A37" s="254" t="s">
        <v>129</v>
      </c>
      <c r="B37" s="52"/>
      <c r="C37" s="70">
        <v>23667.43</v>
      </c>
      <c r="D37" s="70"/>
      <c r="E37" s="59"/>
      <c r="F37" s="70"/>
      <c r="G37" s="30"/>
    </row>
    <row r="38" spans="1:9" ht="16.5" customHeight="1" x14ac:dyDescent="0.25">
      <c r="A38" s="55" t="s">
        <v>58</v>
      </c>
      <c r="B38" s="56"/>
      <c r="C38" s="12">
        <f>SUM(C18:C37)</f>
        <v>3213738.6100000003</v>
      </c>
      <c r="D38" s="12">
        <f>SUM(D18:D36)</f>
        <v>1191409.1900000002</v>
      </c>
      <c r="E38" s="12">
        <f>SUM(E18:E36)</f>
        <v>2018855.0300000003</v>
      </c>
      <c r="F38" s="12">
        <f>SUM(F18:F37)</f>
        <v>3210264.22</v>
      </c>
      <c r="G38" s="27">
        <f>SUM(G18:G37)</f>
        <v>3074571.3000000003</v>
      </c>
      <c r="I38" s="79"/>
    </row>
    <row r="39" spans="1:9" ht="19.5" customHeight="1" x14ac:dyDescent="0.25">
      <c r="A39" s="255" t="s">
        <v>14</v>
      </c>
      <c r="B39" s="5"/>
      <c r="C39" s="199"/>
      <c r="D39" s="5"/>
      <c r="E39" s="5"/>
      <c r="F39" s="5"/>
      <c r="G39" s="23"/>
    </row>
    <row r="40" spans="1:9" ht="18" customHeight="1" x14ac:dyDescent="0.25">
      <c r="A40" s="5" t="s">
        <v>17</v>
      </c>
      <c r="B40" s="38">
        <v>50203010</v>
      </c>
      <c r="C40" s="70">
        <v>380149.57</v>
      </c>
      <c r="D40" s="40">
        <v>84281.21</v>
      </c>
      <c r="E40" s="59">
        <f>F40-D40</f>
        <v>51441.939999999988</v>
      </c>
      <c r="F40" s="59">
        <v>135723.15</v>
      </c>
      <c r="G40" s="9">
        <v>100000</v>
      </c>
    </row>
    <row r="41" spans="1:9" ht="19.5" customHeight="1" x14ac:dyDescent="0.25">
      <c r="A41" s="5" t="s">
        <v>18</v>
      </c>
      <c r="B41" s="38">
        <v>50201010</v>
      </c>
      <c r="C41" s="70">
        <v>612921.35</v>
      </c>
      <c r="D41" s="40">
        <v>447183.29</v>
      </c>
      <c r="E41" s="59">
        <f t="shared" ref="E41:E55" si="1">F41-D41</f>
        <v>367474.94</v>
      </c>
      <c r="F41" s="59">
        <v>814658.23</v>
      </c>
      <c r="G41" s="9">
        <v>400000</v>
      </c>
    </row>
    <row r="42" spans="1:9" ht="15" customHeight="1" x14ac:dyDescent="0.25">
      <c r="A42" s="5" t="s">
        <v>128</v>
      </c>
      <c r="B42" s="38">
        <v>50202010</v>
      </c>
      <c r="C42" s="70">
        <v>94971.66</v>
      </c>
      <c r="D42" s="40">
        <v>19716</v>
      </c>
      <c r="E42" s="59">
        <f t="shared" si="1"/>
        <v>22377.85</v>
      </c>
      <c r="F42" s="59">
        <v>42093.85</v>
      </c>
      <c r="G42" s="9">
        <v>200000</v>
      </c>
    </row>
    <row r="43" spans="1:9" ht="18" customHeight="1" x14ac:dyDescent="0.25">
      <c r="A43" s="5" t="s">
        <v>223</v>
      </c>
      <c r="B43" s="38"/>
      <c r="C43" s="70"/>
      <c r="D43" s="40"/>
      <c r="E43" s="59">
        <f t="shared" si="1"/>
        <v>0</v>
      </c>
      <c r="F43" s="59"/>
      <c r="G43" s="9"/>
    </row>
    <row r="44" spans="1:9" ht="17.25" customHeight="1" x14ac:dyDescent="0.25">
      <c r="A44" s="5" t="s">
        <v>224</v>
      </c>
      <c r="B44" s="38">
        <v>50205020</v>
      </c>
      <c r="C44" s="70">
        <v>401626.07</v>
      </c>
      <c r="D44" s="40">
        <v>305900.13</v>
      </c>
      <c r="E44" s="59">
        <f t="shared" si="1"/>
        <v>241541.13</v>
      </c>
      <c r="F44" s="59">
        <v>547441.26</v>
      </c>
      <c r="G44" s="9">
        <v>200000</v>
      </c>
    </row>
    <row r="45" spans="1:9" ht="18" customHeight="1" x14ac:dyDescent="0.25">
      <c r="A45" s="186" t="s">
        <v>228</v>
      </c>
      <c r="B45" s="38"/>
      <c r="C45" s="70"/>
      <c r="D45" s="40">
        <v>8209</v>
      </c>
      <c r="E45" s="59">
        <f t="shared" si="1"/>
        <v>0</v>
      </c>
      <c r="F45" s="59">
        <v>8209</v>
      </c>
      <c r="G45" s="9"/>
    </row>
    <row r="46" spans="1:9" ht="18" customHeight="1" x14ac:dyDescent="0.25">
      <c r="A46" s="186" t="s">
        <v>230</v>
      </c>
      <c r="B46" s="38"/>
      <c r="C46" s="70"/>
      <c r="D46" s="53">
        <v>414970</v>
      </c>
      <c r="E46" s="59">
        <f t="shared" si="1"/>
        <v>26895</v>
      </c>
      <c r="F46" s="59">
        <v>441865</v>
      </c>
      <c r="G46" s="9">
        <v>100000</v>
      </c>
    </row>
    <row r="47" spans="1:9" ht="17.25" customHeight="1" x14ac:dyDescent="0.25">
      <c r="A47" s="5" t="s">
        <v>20</v>
      </c>
      <c r="B47" s="38">
        <v>50212990</v>
      </c>
      <c r="C47" s="70">
        <v>396920</v>
      </c>
      <c r="E47" s="59">
        <f t="shared" si="1"/>
        <v>0</v>
      </c>
      <c r="F47" s="59"/>
      <c r="G47" s="9">
        <v>200000</v>
      </c>
      <c r="I47" s="79"/>
    </row>
    <row r="48" spans="1:9" ht="17.25" customHeight="1" x14ac:dyDescent="0.25">
      <c r="A48" s="186" t="s">
        <v>229</v>
      </c>
      <c r="B48" s="38"/>
      <c r="C48" s="70"/>
      <c r="D48" s="219">
        <v>148571.29999999999</v>
      </c>
      <c r="E48" s="59">
        <f t="shared" si="1"/>
        <v>50950</v>
      </c>
      <c r="F48" s="59">
        <v>199521.3</v>
      </c>
      <c r="G48" s="9"/>
      <c r="I48" s="79"/>
    </row>
    <row r="49" spans="1:9" ht="14.25" customHeight="1" x14ac:dyDescent="0.25">
      <c r="A49" s="5" t="s">
        <v>21</v>
      </c>
      <c r="B49" s="38">
        <v>50211990</v>
      </c>
      <c r="C49" s="70">
        <v>1611865.53</v>
      </c>
      <c r="E49" s="59">
        <f t="shared" si="1"/>
        <v>0</v>
      </c>
      <c r="F49" s="59"/>
      <c r="G49" s="10">
        <v>289000</v>
      </c>
    </row>
    <row r="50" spans="1:9" ht="15.75" customHeight="1" x14ac:dyDescent="0.25">
      <c r="A50" s="5" t="s">
        <v>22</v>
      </c>
      <c r="B50" s="38">
        <v>50299990</v>
      </c>
      <c r="C50" s="70">
        <v>3502.75</v>
      </c>
      <c r="D50" s="53"/>
      <c r="E50" s="59">
        <f t="shared" si="1"/>
        <v>0</v>
      </c>
      <c r="F50" s="59"/>
      <c r="G50" s="10">
        <v>25000</v>
      </c>
    </row>
    <row r="51" spans="1:9" ht="27.75" customHeight="1" x14ac:dyDescent="0.25">
      <c r="A51" s="256" t="s">
        <v>130</v>
      </c>
      <c r="B51" s="38">
        <v>50299990</v>
      </c>
      <c r="C51" s="70">
        <v>17482.5</v>
      </c>
      <c r="D51" s="53">
        <v>45860.04</v>
      </c>
      <c r="E51" s="59">
        <f t="shared" si="1"/>
        <v>3000</v>
      </c>
      <c r="F51" s="59">
        <v>48860.04</v>
      </c>
      <c r="G51" s="10">
        <v>100000</v>
      </c>
    </row>
    <row r="52" spans="1:9" ht="18.75" customHeight="1" x14ac:dyDescent="0.25">
      <c r="A52" s="5" t="s">
        <v>16</v>
      </c>
      <c r="B52" s="38">
        <v>50203010</v>
      </c>
      <c r="C52" s="70">
        <v>45729.74</v>
      </c>
      <c r="D52" s="53">
        <v>19549.89</v>
      </c>
      <c r="E52" s="59">
        <f t="shared" si="1"/>
        <v>2202.1500000000015</v>
      </c>
      <c r="F52" s="59">
        <v>21752.04</v>
      </c>
      <c r="G52" s="10">
        <v>50000</v>
      </c>
    </row>
    <row r="53" spans="1:9" ht="19.5" customHeight="1" x14ac:dyDescent="0.25">
      <c r="A53" s="5" t="s">
        <v>19</v>
      </c>
      <c r="B53" s="38">
        <v>50201010</v>
      </c>
      <c r="C53" s="70">
        <v>32836</v>
      </c>
      <c r="D53" s="53">
        <v>26680</v>
      </c>
      <c r="E53" s="59">
        <f t="shared" si="1"/>
        <v>14560</v>
      </c>
      <c r="F53" s="59">
        <v>41240</v>
      </c>
      <c r="G53" s="10">
        <v>30000</v>
      </c>
    </row>
    <row r="54" spans="1:9" ht="18.75" customHeight="1" x14ac:dyDescent="0.25">
      <c r="A54" s="5" t="s">
        <v>206</v>
      </c>
      <c r="B54" s="38">
        <v>50214030</v>
      </c>
      <c r="C54" s="70">
        <v>23194</v>
      </c>
      <c r="D54" s="53">
        <v>540</v>
      </c>
      <c r="E54" s="59">
        <f t="shared" si="1"/>
        <v>2705</v>
      </c>
      <c r="F54" s="59">
        <v>3245</v>
      </c>
      <c r="G54" s="10">
        <v>30000</v>
      </c>
    </row>
    <row r="55" spans="1:9" ht="17.25" customHeight="1" x14ac:dyDescent="0.25">
      <c r="A55" s="5" t="s">
        <v>207</v>
      </c>
      <c r="B55" s="38">
        <v>50299990</v>
      </c>
      <c r="C55" s="70">
        <v>41879.980000000003</v>
      </c>
      <c r="D55" s="53">
        <v>14843.12</v>
      </c>
      <c r="E55" s="59">
        <f t="shared" si="1"/>
        <v>66955</v>
      </c>
      <c r="F55" s="59">
        <v>81798.12</v>
      </c>
      <c r="G55" s="10">
        <v>50000</v>
      </c>
    </row>
    <row r="56" spans="1:9" ht="18" customHeight="1" x14ac:dyDescent="0.25">
      <c r="A56" s="5" t="s">
        <v>23</v>
      </c>
      <c r="B56" s="41">
        <v>50299990</v>
      </c>
      <c r="C56" s="201"/>
      <c r="D56" s="42"/>
      <c r="E56" s="59"/>
      <c r="F56" s="70"/>
      <c r="G56" s="15"/>
    </row>
    <row r="57" spans="1:9" ht="16.5" customHeight="1" x14ac:dyDescent="0.25">
      <c r="A57" s="11" t="s">
        <v>24</v>
      </c>
      <c r="B57" s="11"/>
      <c r="C57" s="27">
        <f>SUM(C40:C56)</f>
        <v>3663079.15</v>
      </c>
      <c r="D57" s="12">
        <f>SUM(D40:D56)</f>
        <v>1536303.98</v>
      </c>
      <c r="E57" s="12">
        <f>SUM(E40:E56)</f>
        <v>850103.01</v>
      </c>
      <c r="F57" s="12">
        <f>SUM(F40:F56)</f>
        <v>2386406.9900000002</v>
      </c>
      <c r="G57" s="27">
        <f>SUM(G40:G56)</f>
        <v>1774000</v>
      </c>
      <c r="H57" s="171"/>
      <c r="I57" s="161"/>
    </row>
    <row r="58" spans="1:9" ht="20.25" customHeight="1" x14ac:dyDescent="0.25">
      <c r="A58" s="255" t="s">
        <v>13</v>
      </c>
      <c r="B58" s="11"/>
      <c r="C58" s="27"/>
      <c r="D58" s="12"/>
      <c r="E58" s="12"/>
      <c r="F58" s="12"/>
      <c r="G58" s="27"/>
      <c r="H58" s="79"/>
    </row>
    <row r="59" spans="1:9" ht="20.25" customHeight="1" x14ac:dyDescent="0.25">
      <c r="A59" s="186" t="s">
        <v>231</v>
      </c>
      <c r="B59" s="11"/>
      <c r="C59" s="27"/>
      <c r="D59" s="12"/>
      <c r="E59" s="12"/>
      <c r="F59" s="12"/>
      <c r="G59" s="27"/>
      <c r="H59" s="79"/>
    </row>
    <row r="60" spans="1:9" ht="17.25" customHeight="1" x14ac:dyDescent="0.25">
      <c r="A60" s="5" t="s">
        <v>133</v>
      </c>
      <c r="B60" s="11"/>
      <c r="C60" s="27"/>
      <c r="D60" s="12"/>
      <c r="E60" s="12"/>
      <c r="F60" s="12"/>
      <c r="G60" s="66">
        <v>50000</v>
      </c>
    </row>
    <row r="61" spans="1:9" ht="18" customHeight="1" x14ac:dyDescent="0.25">
      <c r="A61" s="186" t="s">
        <v>243</v>
      </c>
      <c r="B61" s="11"/>
      <c r="C61" s="27">
        <v>50000</v>
      </c>
      <c r="D61" s="12">
        <v>25700</v>
      </c>
      <c r="E61" s="12"/>
      <c r="F61" s="12">
        <v>25700</v>
      </c>
      <c r="G61" s="66"/>
    </row>
    <row r="62" spans="1:9" ht="16.5" customHeight="1" x14ac:dyDescent="0.25">
      <c r="A62" s="5" t="s">
        <v>134</v>
      </c>
      <c r="B62" s="11"/>
      <c r="C62" s="27">
        <f t="shared" ref="C62" si="2">SUM(C58)</f>
        <v>0</v>
      </c>
      <c r="D62" s="12"/>
      <c r="E62" s="12"/>
      <c r="F62" s="12"/>
      <c r="G62" s="66">
        <v>150000</v>
      </c>
    </row>
    <row r="63" spans="1:9" ht="15.75" customHeight="1" x14ac:dyDescent="0.25">
      <c r="A63" s="5" t="s">
        <v>222</v>
      </c>
      <c r="B63" s="11"/>
      <c r="C63" s="27"/>
      <c r="D63" s="12"/>
      <c r="E63" s="12"/>
      <c r="F63" s="12"/>
      <c r="G63" s="66"/>
    </row>
    <row r="64" spans="1:9" ht="16.5" customHeight="1" x14ac:dyDescent="0.25">
      <c r="A64" s="5" t="s">
        <v>135</v>
      </c>
      <c r="B64" s="11"/>
      <c r="C64" s="27"/>
      <c r="D64" s="12">
        <f>SUM(D60)+D59</f>
        <v>0</v>
      </c>
      <c r="E64" s="12">
        <f>SUM(E60)</f>
        <v>0</v>
      </c>
      <c r="F64" s="12">
        <f>SUM(F60)</f>
        <v>0</v>
      </c>
      <c r="G64" s="27">
        <f>SUM(G60:G62)</f>
        <v>200000</v>
      </c>
      <c r="I64" s="161"/>
    </row>
    <row r="65" spans="1:9" ht="15.75" customHeight="1" x14ac:dyDescent="0.25">
      <c r="A65" s="36" t="s">
        <v>61</v>
      </c>
      <c r="B65" s="67"/>
      <c r="C65" s="27">
        <f>C38+C57+C64</f>
        <v>6876817.7599999998</v>
      </c>
      <c r="D65" s="12">
        <f>D38+D57+D64</f>
        <v>2727713.17</v>
      </c>
      <c r="E65" s="12">
        <f>E38+E57+E64</f>
        <v>2868958.04</v>
      </c>
      <c r="F65" s="12">
        <f>F38+F57+F64</f>
        <v>5596671.2100000009</v>
      </c>
      <c r="G65" s="27">
        <f>G38+G57+G64</f>
        <v>5048571.3000000007</v>
      </c>
      <c r="I65" s="138"/>
    </row>
    <row r="66" spans="1:9" ht="15.75" customHeight="1" x14ac:dyDescent="0.25">
      <c r="A66" s="133"/>
      <c r="B66" s="161"/>
      <c r="C66" s="184"/>
      <c r="D66" s="260"/>
      <c r="E66" s="260"/>
      <c r="F66" s="260"/>
      <c r="G66" s="184"/>
      <c r="I66" s="138"/>
    </row>
    <row r="67" spans="1:9" ht="16.5" customHeight="1" x14ac:dyDescent="0.3">
      <c r="A67" s="147" t="s">
        <v>68</v>
      </c>
      <c r="B67" s="147" t="s">
        <v>69</v>
      </c>
      <c r="C67" s="252"/>
      <c r="D67" s="147"/>
      <c r="E67" s="147" t="s">
        <v>70</v>
      </c>
      <c r="F67" s="147"/>
      <c r="G67" s="151"/>
    </row>
    <row r="68" spans="1:9" ht="27" customHeight="1" x14ac:dyDescent="0.3">
      <c r="A68" s="147"/>
      <c r="B68" s="147"/>
      <c r="C68" s="252"/>
      <c r="D68" s="147"/>
      <c r="E68" s="147"/>
      <c r="F68" s="147"/>
      <c r="G68" s="151"/>
    </row>
    <row r="69" spans="1:9" ht="21" x14ac:dyDescent="0.35">
      <c r="A69" s="155" t="s">
        <v>247</v>
      </c>
      <c r="B69" s="155" t="s">
        <v>271</v>
      </c>
      <c r="C69" s="194"/>
      <c r="D69" s="154"/>
      <c r="E69" s="257" t="str">
        <f>A69</f>
        <v xml:space="preserve">EUGENIO B. DATAHAN II  </v>
      </c>
      <c r="F69" s="258"/>
      <c r="G69" s="259"/>
    </row>
    <row r="70" spans="1:9" ht="21" x14ac:dyDescent="0.35">
      <c r="A70" s="154" t="s">
        <v>261</v>
      </c>
      <c r="B70" s="154" t="s">
        <v>265</v>
      </c>
      <c r="C70" s="194"/>
      <c r="D70" s="154"/>
      <c r="E70" s="250" t="s">
        <v>270</v>
      </c>
      <c r="F70" s="250"/>
      <c r="G70" s="183"/>
    </row>
    <row r="71" spans="1:9" ht="21" x14ac:dyDescent="0.35">
      <c r="A71" s="154"/>
      <c r="B71" s="154"/>
      <c r="C71" s="194"/>
      <c r="D71" s="154"/>
      <c r="E71" s="154"/>
      <c r="F71" s="154"/>
      <c r="G71" s="152"/>
    </row>
    <row r="72" spans="1:9" ht="21" x14ac:dyDescent="0.35">
      <c r="A72" s="154"/>
      <c r="B72" s="154"/>
      <c r="C72" s="194"/>
      <c r="D72" s="154"/>
      <c r="E72" s="154"/>
      <c r="F72" s="154"/>
      <c r="G72" s="152"/>
    </row>
    <row r="73" spans="1:9" ht="21" x14ac:dyDescent="0.35">
      <c r="A73" s="154"/>
      <c r="B73" s="154"/>
      <c r="C73" s="194"/>
      <c r="D73" s="154"/>
      <c r="E73" s="154"/>
      <c r="F73" s="154"/>
      <c r="G73" s="152"/>
    </row>
  </sheetData>
  <sheetProtection password="CCFC" sheet="1" objects="1" scenarios="1" selectLockedCells="1" selectUnlockedCells="1"/>
  <mergeCells count="5">
    <mergeCell ref="A10:A11"/>
    <mergeCell ref="B10:B11"/>
    <mergeCell ref="D10:F10"/>
    <mergeCell ref="A3:G3"/>
    <mergeCell ref="A4:G4"/>
  </mergeCells>
  <printOptions horizontalCentered="1"/>
  <pageMargins left="1" right="0" top="0.51" bottom="0" header="0" footer="0"/>
  <pageSetup paperSize="5" scale="7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45" workbookViewId="0">
      <selection activeCell="C56" sqref="C56"/>
    </sheetView>
  </sheetViews>
  <sheetFormatPr defaultRowHeight="15" x14ac:dyDescent="0.25"/>
  <cols>
    <col min="1" max="1" width="9.28515625" customWidth="1"/>
    <col min="2" max="2" width="8.7109375" customWidth="1"/>
    <col min="3" max="3" width="33.7109375" customWidth="1"/>
    <col min="4" max="4" width="15.28515625" customWidth="1"/>
    <col min="5" max="5" width="12.5703125" customWidth="1"/>
    <col min="6" max="6" width="14.28515625" customWidth="1"/>
    <col min="7" max="7" width="14.140625" customWidth="1"/>
    <col min="8" max="8" width="14.28515625" customWidth="1"/>
    <col min="9" max="9" width="13.85546875" bestFit="1" customWidth="1"/>
    <col min="10" max="10" width="15.42578125" customWidth="1"/>
    <col min="11" max="11" width="17" customWidth="1"/>
    <col min="12" max="12" width="9.28515625" customWidth="1"/>
  </cols>
  <sheetData>
    <row r="1" spans="1:11" x14ac:dyDescent="0.25">
      <c r="A1" t="s">
        <v>366</v>
      </c>
      <c r="H1" t="s">
        <v>365</v>
      </c>
    </row>
    <row r="3" spans="1:11" ht="21" x14ac:dyDescent="0.35">
      <c r="A3" s="582" t="s">
        <v>364</v>
      </c>
      <c r="B3" s="582"/>
      <c r="C3" s="582"/>
      <c r="D3" s="582"/>
      <c r="E3" s="582"/>
      <c r="F3" s="582"/>
      <c r="G3" s="582"/>
      <c r="H3" s="582"/>
      <c r="I3" s="322"/>
      <c r="J3" s="322"/>
      <c r="K3" s="322"/>
    </row>
    <row r="4" spans="1:11" ht="21" x14ac:dyDescent="0.35">
      <c r="A4" s="582" t="s">
        <v>127</v>
      </c>
      <c r="B4" s="582"/>
      <c r="C4" s="582"/>
      <c r="D4" s="582"/>
      <c r="E4" s="582"/>
      <c r="F4" s="582"/>
      <c r="G4" s="582"/>
      <c r="H4" s="582"/>
    </row>
    <row r="5" spans="1:11" ht="21" x14ac:dyDescent="0.35">
      <c r="A5" s="266"/>
      <c r="B5" s="266"/>
      <c r="C5" s="266"/>
      <c r="D5" s="266"/>
      <c r="E5" s="266"/>
      <c r="F5" s="266"/>
      <c r="G5" s="266"/>
      <c r="H5" s="266"/>
    </row>
    <row r="6" spans="1:11" ht="21" x14ac:dyDescent="0.35">
      <c r="A6" s="321" t="s">
        <v>363</v>
      </c>
      <c r="B6" s="266"/>
      <c r="C6" s="266"/>
      <c r="D6" s="266"/>
      <c r="E6" s="266"/>
      <c r="F6" s="266"/>
      <c r="G6" s="266"/>
      <c r="H6" s="266"/>
    </row>
    <row r="7" spans="1:11" ht="21" x14ac:dyDescent="0.35">
      <c r="A7" s="321" t="s">
        <v>362</v>
      </c>
      <c r="B7" s="266"/>
      <c r="C7" s="266"/>
      <c r="D7" s="266"/>
      <c r="E7" s="266"/>
      <c r="F7" s="266"/>
      <c r="G7" s="266"/>
      <c r="H7" s="266"/>
    </row>
    <row r="8" spans="1:11" ht="21" x14ac:dyDescent="0.35">
      <c r="A8" s="321" t="s">
        <v>361</v>
      </c>
      <c r="B8" s="266"/>
      <c r="C8" s="266"/>
      <c r="D8" s="266"/>
      <c r="E8" s="266"/>
      <c r="F8" s="266"/>
      <c r="G8" s="266"/>
      <c r="H8" s="266"/>
    </row>
    <row r="9" spans="1:11" ht="21" x14ac:dyDescent="0.35">
      <c r="A9" s="154"/>
      <c r="B9" s="154"/>
      <c r="C9" s="154"/>
      <c r="D9" s="154"/>
      <c r="E9" s="154"/>
      <c r="F9" s="154"/>
      <c r="G9" s="154"/>
      <c r="H9" s="154"/>
    </row>
    <row r="10" spans="1:11" ht="45" x14ac:dyDescent="0.25">
      <c r="A10" s="263" t="s">
        <v>360</v>
      </c>
      <c r="B10" s="261" t="s">
        <v>359</v>
      </c>
      <c r="C10" s="261" t="s">
        <v>358</v>
      </c>
      <c r="D10" s="261" t="s">
        <v>2</v>
      </c>
      <c r="E10" s="606" t="s">
        <v>357</v>
      </c>
      <c r="F10" s="606"/>
      <c r="G10" s="261"/>
      <c r="H10" s="261" t="s">
        <v>3</v>
      </c>
      <c r="I10" s="280"/>
      <c r="J10" s="280"/>
      <c r="K10" s="280"/>
    </row>
    <row r="11" spans="1:11" ht="45" x14ac:dyDescent="0.25">
      <c r="A11" s="262"/>
      <c r="B11" s="262"/>
      <c r="C11" s="262"/>
      <c r="D11" s="262" t="s">
        <v>4</v>
      </c>
      <c r="E11" s="269" t="s">
        <v>356</v>
      </c>
      <c r="F11" s="269" t="s">
        <v>119</v>
      </c>
      <c r="G11" s="270" t="s">
        <v>62</v>
      </c>
      <c r="H11" s="262" t="s">
        <v>6</v>
      </c>
      <c r="I11" s="280"/>
      <c r="J11" s="280"/>
      <c r="K11" s="280"/>
    </row>
    <row r="12" spans="1:11" x14ac:dyDescent="0.25">
      <c r="A12" s="262"/>
      <c r="B12" s="262"/>
      <c r="C12" s="262"/>
      <c r="D12" s="262"/>
      <c r="E12" s="90" t="s">
        <v>4</v>
      </c>
      <c r="F12" s="90" t="s">
        <v>7</v>
      </c>
      <c r="G12" s="90"/>
      <c r="H12" s="262"/>
      <c r="I12" s="280"/>
      <c r="J12" s="280"/>
      <c r="K12" s="280"/>
    </row>
    <row r="13" spans="1:11" x14ac:dyDescent="0.25">
      <c r="A13" s="262"/>
      <c r="B13" s="262"/>
      <c r="C13" s="262"/>
      <c r="D13" s="262">
        <v>2016</v>
      </c>
      <c r="E13" s="90">
        <v>2017</v>
      </c>
      <c r="F13" s="90">
        <v>2017</v>
      </c>
      <c r="G13" s="90"/>
      <c r="H13" s="262">
        <v>2018</v>
      </c>
      <c r="I13" s="280"/>
      <c r="J13" s="280"/>
      <c r="K13" s="280"/>
    </row>
    <row r="14" spans="1:11" x14ac:dyDescent="0.25">
      <c r="A14" s="320">
        <v>1</v>
      </c>
      <c r="B14" s="320">
        <v>2</v>
      </c>
      <c r="C14" s="320">
        <v>3</v>
      </c>
      <c r="D14" s="320">
        <v>4</v>
      </c>
      <c r="E14" s="320">
        <v>5</v>
      </c>
      <c r="F14" s="320">
        <v>6</v>
      </c>
      <c r="G14" s="320">
        <v>7</v>
      </c>
      <c r="H14" s="320">
        <v>8</v>
      </c>
      <c r="I14" s="280"/>
      <c r="J14" s="280"/>
      <c r="K14" s="280"/>
    </row>
    <row r="15" spans="1:11" x14ac:dyDescent="0.25">
      <c r="A15" s="319"/>
      <c r="B15" s="318"/>
      <c r="C15" s="317" t="s">
        <v>355</v>
      </c>
      <c r="D15" s="315"/>
      <c r="E15" s="315"/>
      <c r="F15" s="315"/>
      <c r="G15" s="316"/>
      <c r="H15" s="315"/>
      <c r="I15" s="280"/>
      <c r="J15" s="280"/>
      <c r="K15" s="280"/>
    </row>
    <row r="16" spans="1:11" ht="45" x14ac:dyDescent="0.25">
      <c r="A16" s="288" t="s">
        <v>354</v>
      </c>
      <c r="B16" s="299" t="s">
        <v>353</v>
      </c>
      <c r="C16" s="291" t="s">
        <v>352</v>
      </c>
      <c r="D16" s="290">
        <v>150000</v>
      </c>
      <c r="E16" s="290">
        <v>59394.14</v>
      </c>
      <c r="F16" s="314">
        <f>G16-E16</f>
        <v>67696.25</v>
      </c>
      <c r="G16" s="285">
        <v>127090.39</v>
      </c>
      <c r="H16" s="290">
        <v>150000</v>
      </c>
      <c r="I16" s="280"/>
      <c r="J16" s="280"/>
      <c r="K16" s="280"/>
    </row>
    <row r="17" spans="1:11" x14ac:dyDescent="0.25">
      <c r="A17" s="288"/>
      <c r="B17" s="299"/>
      <c r="C17" s="287" t="s">
        <v>351</v>
      </c>
      <c r="D17" s="290">
        <v>200000</v>
      </c>
      <c r="E17" s="290">
        <v>199989</v>
      </c>
      <c r="F17" s="296">
        <f>G17-E17</f>
        <v>0</v>
      </c>
      <c r="G17" s="285">
        <v>199989</v>
      </c>
      <c r="H17" s="290">
        <v>200000</v>
      </c>
      <c r="I17" s="280"/>
      <c r="J17" s="280"/>
      <c r="K17" s="280"/>
    </row>
    <row r="18" spans="1:11" ht="30" x14ac:dyDescent="0.25">
      <c r="A18" s="288"/>
      <c r="B18" s="299"/>
      <c r="C18" s="287" t="s">
        <v>350</v>
      </c>
      <c r="D18" s="290">
        <v>82816</v>
      </c>
      <c r="E18" s="290"/>
      <c r="F18" s="186"/>
      <c r="G18" s="285"/>
      <c r="H18" s="290">
        <v>85855</v>
      </c>
      <c r="I18" s="280"/>
      <c r="J18" s="280"/>
      <c r="K18" s="280"/>
    </row>
    <row r="19" spans="1:11" ht="30" x14ac:dyDescent="0.25">
      <c r="A19" s="288"/>
      <c r="B19" s="299"/>
      <c r="C19" s="287" t="s">
        <v>349</v>
      </c>
      <c r="D19" s="290">
        <v>428469</v>
      </c>
      <c r="E19" s="290"/>
      <c r="F19" s="313">
        <f>G19-E19</f>
        <v>18317.25</v>
      </c>
      <c r="G19" s="285">
        <v>18317.25</v>
      </c>
      <c r="H19" s="290">
        <v>330000</v>
      </c>
      <c r="I19" s="280"/>
      <c r="J19" s="280"/>
      <c r="K19" s="280"/>
    </row>
    <row r="20" spans="1:11" x14ac:dyDescent="0.25">
      <c r="A20" s="312"/>
      <c r="B20" s="311"/>
      <c r="C20" s="310"/>
      <c r="D20" s="308"/>
      <c r="E20" s="286"/>
      <c r="F20" s="309"/>
      <c r="G20" s="308"/>
      <c r="H20" s="307"/>
      <c r="I20" s="280"/>
      <c r="J20" s="280"/>
      <c r="K20" s="280"/>
    </row>
    <row r="21" spans="1:11" x14ac:dyDescent="0.25">
      <c r="A21" s="283"/>
      <c r="B21" s="306"/>
      <c r="C21" s="282" t="s">
        <v>348</v>
      </c>
      <c r="D21" s="58">
        <f>SUM(D16:D20)</f>
        <v>861285</v>
      </c>
      <c r="E21" s="58">
        <f>SUM(E16:E20)</f>
        <v>259383.14</v>
      </c>
      <c r="F21" s="68">
        <f>SUM(F16:F20)</f>
        <v>86013.5</v>
      </c>
      <c r="G21" s="58">
        <f>SUM(G16:G20)</f>
        <v>345396.64</v>
      </c>
      <c r="H21" s="58">
        <f>SUM(H16:H20)</f>
        <v>765855</v>
      </c>
      <c r="I21" s="280"/>
      <c r="J21" s="280"/>
      <c r="K21" s="280"/>
    </row>
    <row r="22" spans="1:11" x14ac:dyDescent="0.25">
      <c r="A22" s="305"/>
      <c r="B22" s="304"/>
      <c r="C22" s="303" t="s">
        <v>95</v>
      </c>
      <c r="D22" s="300"/>
      <c r="E22" s="300"/>
      <c r="F22" s="302"/>
      <c r="G22" s="301"/>
      <c r="H22" s="300"/>
      <c r="I22" s="280"/>
      <c r="J22" s="280"/>
      <c r="K22" s="280"/>
    </row>
    <row r="23" spans="1:11" x14ac:dyDescent="0.25">
      <c r="A23" s="288"/>
      <c r="B23" s="299"/>
      <c r="C23" s="287" t="s">
        <v>347</v>
      </c>
      <c r="D23" s="290">
        <v>400000</v>
      </c>
      <c r="E23" s="290"/>
      <c r="F23" s="298">
        <f>G23-E23</f>
        <v>264713</v>
      </c>
      <c r="G23" s="285">
        <v>264713</v>
      </c>
      <c r="H23" s="290"/>
      <c r="I23" s="281"/>
      <c r="J23" s="280"/>
      <c r="K23" s="280"/>
    </row>
    <row r="24" spans="1:11" x14ac:dyDescent="0.25">
      <c r="A24" s="288"/>
      <c r="B24" s="299"/>
      <c r="C24" s="287" t="s">
        <v>346</v>
      </c>
      <c r="D24" s="290">
        <v>1050000</v>
      </c>
      <c r="E24" s="290">
        <v>209904.5</v>
      </c>
      <c r="F24" s="298">
        <f>G24-E24</f>
        <v>567662.25</v>
      </c>
      <c r="G24" s="285">
        <v>777566.75</v>
      </c>
      <c r="H24" s="290">
        <v>1050000</v>
      </c>
      <c r="I24" s="281"/>
      <c r="J24" s="280"/>
      <c r="K24" s="280"/>
    </row>
    <row r="25" spans="1:11" ht="30" x14ac:dyDescent="0.25">
      <c r="A25" s="288"/>
      <c r="B25" s="299"/>
      <c r="C25" s="292" t="s">
        <v>345</v>
      </c>
      <c r="D25" s="290">
        <v>500000</v>
      </c>
      <c r="E25" s="290"/>
      <c r="F25" s="289"/>
      <c r="G25" s="285">
        <v>42320</v>
      </c>
      <c r="H25" s="290">
        <v>400000</v>
      </c>
      <c r="I25" s="281"/>
      <c r="J25" s="280"/>
      <c r="K25" s="280"/>
    </row>
    <row r="26" spans="1:11" x14ac:dyDescent="0.25">
      <c r="A26" s="288"/>
      <c r="B26" s="299"/>
      <c r="C26" s="291" t="s">
        <v>344</v>
      </c>
      <c r="D26" s="290"/>
      <c r="E26" s="290">
        <v>3320</v>
      </c>
      <c r="F26" s="289"/>
      <c r="G26" s="285"/>
      <c r="H26" s="290"/>
      <c r="I26" s="281"/>
      <c r="J26" s="280"/>
      <c r="K26" s="280"/>
    </row>
    <row r="27" spans="1:11" x14ac:dyDescent="0.25">
      <c r="A27" s="288"/>
      <c r="B27" s="299"/>
      <c r="C27" s="292" t="s">
        <v>343</v>
      </c>
      <c r="D27" s="290">
        <v>200000</v>
      </c>
      <c r="E27" s="290"/>
      <c r="F27" s="289"/>
      <c r="G27" s="285"/>
      <c r="H27" s="290"/>
      <c r="I27" s="281"/>
      <c r="J27" s="280"/>
      <c r="K27" s="280"/>
    </row>
    <row r="28" spans="1:11" ht="30" x14ac:dyDescent="0.25">
      <c r="A28" s="288"/>
      <c r="B28" s="299"/>
      <c r="C28" s="292" t="s">
        <v>342</v>
      </c>
      <c r="D28" s="290">
        <f>1450000-392236.6</f>
        <v>1057763.3999999999</v>
      </c>
      <c r="E28" s="290"/>
      <c r="F28" s="298">
        <f>G28-E28</f>
        <v>548334.99</v>
      </c>
      <c r="G28" s="285">
        <v>548334.99</v>
      </c>
      <c r="H28" s="290">
        <v>1450000</v>
      </c>
      <c r="I28" s="281"/>
      <c r="J28" s="280"/>
      <c r="K28" s="280"/>
    </row>
    <row r="29" spans="1:11" x14ac:dyDescent="0.25">
      <c r="A29" s="288"/>
      <c r="B29" s="288"/>
      <c r="C29" s="292" t="s">
        <v>341</v>
      </c>
      <c r="D29" s="284">
        <v>2000000</v>
      </c>
      <c r="E29" s="290"/>
      <c r="F29" s="289"/>
      <c r="G29" s="285"/>
      <c r="H29" s="284">
        <v>2000000</v>
      </c>
      <c r="I29" s="297"/>
      <c r="J29" s="280"/>
      <c r="K29" s="280"/>
    </row>
    <row r="30" spans="1:11" ht="30" x14ac:dyDescent="0.25">
      <c r="A30" s="288"/>
      <c r="B30" s="288"/>
      <c r="C30" s="291" t="s">
        <v>340</v>
      </c>
      <c r="D30" s="284">
        <v>1000000</v>
      </c>
      <c r="E30" s="290"/>
      <c r="F30" s="296">
        <f>G30-E30</f>
        <v>1000000</v>
      </c>
      <c r="G30" s="285">
        <v>1000000</v>
      </c>
      <c r="H30" s="284">
        <v>400000</v>
      </c>
      <c r="I30" s="281"/>
      <c r="J30" s="280"/>
      <c r="K30" s="280"/>
    </row>
    <row r="31" spans="1:11" x14ac:dyDescent="0.25">
      <c r="A31" s="288"/>
      <c r="B31" s="288"/>
      <c r="C31" s="292" t="s">
        <v>339</v>
      </c>
      <c r="D31" s="284">
        <v>2500000</v>
      </c>
      <c r="E31" s="290">
        <v>16200</v>
      </c>
      <c r="F31" s="295">
        <f>G31-E31</f>
        <v>2000000</v>
      </c>
      <c r="G31" s="285">
        <v>2016200</v>
      </c>
      <c r="H31" s="284">
        <v>300000</v>
      </c>
      <c r="I31" s="280"/>
      <c r="J31" s="280"/>
      <c r="K31" s="280"/>
    </row>
    <row r="32" spans="1:11" x14ac:dyDescent="0.25">
      <c r="A32" s="288"/>
      <c r="B32" s="288"/>
      <c r="C32" s="291" t="s">
        <v>338</v>
      </c>
      <c r="D32" s="284"/>
      <c r="E32" s="290">
        <v>4476</v>
      </c>
      <c r="F32" s="294">
        <f>G32-E32</f>
        <v>3394028.52</v>
      </c>
      <c r="G32" s="285">
        <v>3398504.52</v>
      </c>
      <c r="H32" s="284"/>
      <c r="I32" s="280"/>
      <c r="J32" s="280"/>
      <c r="K32" s="280"/>
    </row>
    <row r="33" spans="1:11" x14ac:dyDescent="0.25">
      <c r="A33" s="288"/>
      <c r="B33" s="288"/>
      <c r="C33" s="292" t="s">
        <v>337</v>
      </c>
      <c r="D33" s="284">
        <v>5000000</v>
      </c>
      <c r="E33" s="290"/>
      <c r="F33" s="293"/>
      <c r="G33" s="285"/>
      <c r="H33" s="284">
        <v>5000000</v>
      </c>
      <c r="I33" s="280"/>
      <c r="J33" s="280"/>
      <c r="K33" s="280"/>
    </row>
    <row r="34" spans="1:11" ht="30" x14ac:dyDescent="0.25">
      <c r="A34" s="288"/>
      <c r="B34" s="288"/>
      <c r="C34" s="292" t="s">
        <v>336</v>
      </c>
      <c r="D34" s="284">
        <v>226000</v>
      </c>
      <c r="E34" s="290"/>
      <c r="F34" s="293"/>
      <c r="G34" s="285"/>
      <c r="H34" s="284">
        <v>0</v>
      </c>
      <c r="I34" s="280"/>
      <c r="J34" s="280"/>
      <c r="K34" s="280"/>
    </row>
    <row r="35" spans="1:11" ht="30" x14ac:dyDescent="0.25">
      <c r="A35" s="288"/>
      <c r="B35" s="288"/>
      <c r="C35" s="292" t="s">
        <v>335</v>
      </c>
      <c r="D35" s="284">
        <v>200000</v>
      </c>
      <c r="E35" s="290"/>
      <c r="F35" s="285">
        <v>150000</v>
      </c>
      <c r="G35" s="285"/>
      <c r="H35" s="284">
        <v>0</v>
      </c>
      <c r="I35" s="280"/>
      <c r="J35" s="280"/>
      <c r="K35" s="280"/>
    </row>
    <row r="36" spans="1:11" ht="30" x14ac:dyDescent="0.25">
      <c r="A36" s="288"/>
      <c r="B36" s="288"/>
      <c r="C36" s="292" t="s">
        <v>334</v>
      </c>
      <c r="D36" s="284">
        <v>200000</v>
      </c>
      <c r="E36" s="290"/>
      <c r="F36" s="285">
        <v>200000</v>
      </c>
      <c r="G36" s="285"/>
      <c r="H36" s="284">
        <v>0</v>
      </c>
      <c r="I36" s="280"/>
      <c r="J36" s="280"/>
      <c r="K36" s="280"/>
    </row>
    <row r="37" spans="1:11" ht="30" x14ac:dyDescent="0.25">
      <c r="A37" s="288"/>
      <c r="B37" s="288"/>
      <c r="C37" s="292" t="s">
        <v>333</v>
      </c>
      <c r="D37" s="284">
        <v>450000</v>
      </c>
      <c r="E37" s="290"/>
      <c r="F37" s="290">
        <v>450000</v>
      </c>
      <c r="G37" s="290"/>
      <c r="H37" s="284">
        <v>0</v>
      </c>
      <c r="I37" s="280"/>
      <c r="J37" s="280"/>
      <c r="K37" s="280"/>
    </row>
    <row r="38" spans="1:11" ht="30" x14ac:dyDescent="0.25">
      <c r="A38" s="288"/>
      <c r="B38" s="288"/>
      <c r="C38" s="292" t="s">
        <v>332</v>
      </c>
      <c r="D38" s="284">
        <v>225000</v>
      </c>
      <c r="E38" s="290"/>
      <c r="F38" s="285">
        <v>150000</v>
      </c>
      <c r="G38" s="285"/>
      <c r="H38" s="284">
        <v>0</v>
      </c>
      <c r="I38" s="280"/>
      <c r="J38" s="280"/>
      <c r="K38" s="280"/>
    </row>
    <row r="39" spans="1:11" x14ac:dyDescent="0.25">
      <c r="A39" s="288"/>
      <c r="B39" s="288"/>
      <c r="C39" s="292" t="s">
        <v>331</v>
      </c>
      <c r="D39" s="284">
        <v>250000</v>
      </c>
      <c r="E39" s="290"/>
      <c r="F39" s="285">
        <v>250000</v>
      </c>
      <c r="G39" s="285"/>
      <c r="H39" s="284">
        <v>0</v>
      </c>
      <c r="I39" s="280"/>
      <c r="J39" s="280"/>
      <c r="K39" s="280"/>
    </row>
    <row r="40" spans="1:11" ht="30" x14ac:dyDescent="0.25">
      <c r="A40" s="288"/>
      <c r="B40" s="288"/>
      <c r="C40" s="292" t="s">
        <v>330</v>
      </c>
      <c r="D40" s="284">
        <v>200000</v>
      </c>
      <c r="E40" s="290"/>
      <c r="F40" s="285">
        <v>150000</v>
      </c>
      <c r="G40" s="285"/>
      <c r="H40" s="284">
        <v>0</v>
      </c>
      <c r="I40" s="280"/>
      <c r="J40" s="280"/>
      <c r="K40" s="280"/>
    </row>
    <row r="41" spans="1:11" ht="30" x14ac:dyDescent="0.25">
      <c r="A41" s="288"/>
      <c r="B41" s="288"/>
      <c r="C41" s="292" t="s">
        <v>329</v>
      </c>
      <c r="D41" s="284">
        <v>300000</v>
      </c>
      <c r="E41" s="290"/>
      <c r="F41" s="285">
        <v>300000</v>
      </c>
      <c r="G41" s="285"/>
      <c r="H41" s="284">
        <v>0</v>
      </c>
      <c r="I41" s="280"/>
      <c r="J41" s="280"/>
      <c r="K41" s="280"/>
    </row>
    <row r="42" spans="1:11" ht="30" x14ac:dyDescent="0.25">
      <c r="A42" s="288"/>
      <c r="B42" s="288"/>
      <c r="C42" s="292" t="s">
        <v>328</v>
      </c>
      <c r="D42" s="284">
        <v>200000</v>
      </c>
      <c r="E42" s="290"/>
      <c r="F42" s="285">
        <v>200000</v>
      </c>
      <c r="G42" s="285"/>
      <c r="H42" s="284">
        <v>0</v>
      </c>
      <c r="I42" s="280"/>
      <c r="J42" s="280"/>
      <c r="K42" s="280"/>
    </row>
    <row r="43" spans="1:11" ht="30" x14ac:dyDescent="0.25">
      <c r="A43" s="288"/>
      <c r="B43" s="288"/>
      <c r="C43" s="292" t="s">
        <v>327</v>
      </c>
      <c r="D43" s="284">
        <v>317000</v>
      </c>
      <c r="E43" s="290"/>
      <c r="F43" s="285">
        <v>317000</v>
      </c>
      <c r="G43" s="285"/>
      <c r="H43" s="284">
        <v>0</v>
      </c>
      <c r="I43" s="280"/>
      <c r="J43" s="280"/>
      <c r="K43" s="280"/>
    </row>
    <row r="44" spans="1:11" ht="30" x14ac:dyDescent="0.25">
      <c r="A44" s="288"/>
      <c r="B44" s="288"/>
      <c r="C44" s="292" t="s">
        <v>326</v>
      </c>
      <c r="D44" s="284">
        <v>200000</v>
      </c>
      <c r="E44" s="290"/>
      <c r="F44" s="285">
        <v>150000</v>
      </c>
      <c r="G44" s="285"/>
      <c r="H44" s="284">
        <v>0</v>
      </c>
      <c r="I44" s="281"/>
      <c r="J44" s="280"/>
      <c r="K44" s="280"/>
    </row>
    <row r="45" spans="1:11" ht="30" x14ac:dyDescent="0.25">
      <c r="A45" s="288"/>
      <c r="B45" s="288"/>
      <c r="C45" s="292" t="s">
        <v>325</v>
      </c>
      <c r="D45" s="284">
        <v>234000</v>
      </c>
      <c r="E45" s="290"/>
      <c r="F45" s="285"/>
      <c r="G45" s="285"/>
      <c r="H45" s="284">
        <v>0</v>
      </c>
      <c r="I45" s="280"/>
      <c r="J45" s="280"/>
      <c r="K45" s="280"/>
    </row>
    <row r="46" spans="1:11" x14ac:dyDescent="0.25">
      <c r="A46" s="288"/>
      <c r="B46" s="288"/>
      <c r="C46" s="287" t="s">
        <v>324</v>
      </c>
      <c r="D46" s="284">
        <v>200000</v>
      </c>
      <c r="E46" s="290"/>
      <c r="F46" s="285">
        <v>200000</v>
      </c>
      <c r="G46" s="285"/>
      <c r="H46" s="284">
        <v>0</v>
      </c>
      <c r="I46" s="280"/>
      <c r="J46" s="280"/>
      <c r="K46" s="280"/>
    </row>
    <row r="47" spans="1:11" ht="30" x14ac:dyDescent="0.25">
      <c r="A47" s="288"/>
      <c r="B47" s="288"/>
      <c r="C47" s="291" t="s">
        <v>323</v>
      </c>
      <c r="D47" s="284"/>
      <c r="E47" s="290"/>
      <c r="F47" s="289"/>
      <c r="G47" s="285"/>
      <c r="H47" s="284">
        <v>8545194</v>
      </c>
      <c r="I47" s="280"/>
      <c r="J47" s="280"/>
      <c r="K47" s="280"/>
    </row>
    <row r="48" spans="1:11" ht="30" x14ac:dyDescent="0.25">
      <c r="A48" s="288"/>
      <c r="B48" s="288"/>
      <c r="C48" s="287" t="s">
        <v>322</v>
      </c>
      <c r="D48" s="284"/>
      <c r="E48" s="286"/>
      <c r="F48" s="213"/>
      <c r="G48" s="285"/>
      <c r="H48" s="284">
        <v>202270.36</v>
      </c>
      <c r="I48" s="280"/>
      <c r="J48" s="280"/>
      <c r="K48" s="280"/>
    </row>
    <row r="49" spans="1:11" x14ac:dyDescent="0.25">
      <c r="A49" s="283"/>
      <c r="B49" s="283"/>
      <c r="C49" s="282" t="s">
        <v>321</v>
      </c>
      <c r="D49" s="58">
        <f>SUM(D23:D48)</f>
        <v>16909763.399999999</v>
      </c>
      <c r="E49" s="58">
        <f>SUM(E23:E48)</f>
        <v>233900.5</v>
      </c>
      <c r="F49" s="279">
        <f>SUM(F23:F48)</f>
        <v>10291738.76</v>
      </c>
      <c r="G49" s="58">
        <f>SUM(G23:G48)</f>
        <v>8047639.2599999998</v>
      </c>
      <c r="H49" s="58">
        <f>SUM(H24:H48)</f>
        <v>19347464.359999999</v>
      </c>
      <c r="I49" s="281"/>
      <c r="J49" s="280"/>
      <c r="K49" s="280"/>
    </row>
    <row r="50" spans="1:11" x14ac:dyDescent="0.25">
      <c r="A50" s="11"/>
      <c r="B50" s="11"/>
      <c r="C50" s="11" t="s">
        <v>320</v>
      </c>
      <c r="D50" s="12">
        <f>D21+D49</f>
        <v>17771048.399999999</v>
      </c>
      <c r="E50" s="12">
        <f>E21+E49</f>
        <v>493283.64</v>
      </c>
      <c r="F50" s="279">
        <f>+F21+F49</f>
        <v>10377752.26</v>
      </c>
      <c r="G50" s="12">
        <f>G21+G49</f>
        <v>8393035.9000000004</v>
      </c>
      <c r="H50" s="12">
        <f>+H49+H21</f>
        <v>20113319.359999999</v>
      </c>
    </row>
    <row r="51" spans="1:11" x14ac:dyDescent="0.25">
      <c r="D51" s="78"/>
      <c r="E51" s="78"/>
      <c r="F51" s="278"/>
      <c r="G51" s="78"/>
      <c r="H51" s="78"/>
      <c r="I51" s="131"/>
      <c r="J51" s="131"/>
      <c r="K51" s="131"/>
    </row>
    <row r="52" spans="1:11" ht="21" x14ac:dyDescent="0.35">
      <c r="A52" s="609" t="s">
        <v>319</v>
      </c>
      <c r="B52" s="609"/>
      <c r="C52" s="609"/>
      <c r="D52" s="609"/>
      <c r="E52" s="609"/>
      <c r="F52" s="609"/>
      <c r="G52" s="609"/>
      <c r="H52" s="609"/>
      <c r="I52" s="154"/>
    </row>
    <row r="53" spans="1:11" ht="21" x14ac:dyDescent="0.35">
      <c r="A53" s="154"/>
      <c r="B53" s="154"/>
      <c r="C53" s="277"/>
      <c r="E53" s="277"/>
      <c r="H53" s="277"/>
      <c r="I53" s="154"/>
    </row>
    <row r="54" spans="1:11" ht="21" x14ac:dyDescent="0.35">
      <c r="A54" s="607" t="s">
        <v>318</v>
      </c>
      <c r="B54" s="607"/>
      <c r="C54" s="607"/>
      <c r="D54" s="607"/>
      <c r="E54" s="607"/>
      <c r="F54" s="607"/>
      <c r="G54" s="607"/>
      <c r="H54" s="607"/>
      <c r="I54" s="154"/>
    </row>
    <row r="55" spans="1:11" ht="21" x14ac:dyDescent="0.35">
      <c r="A55" s="608" t="s">
        <v>317</v>
      </c>
      <c r="B55" s="608"/>
      <c r="C55" s="608"/>
      <c r="D55" s="608"/>
      <c r="E55" s="608"/>
      <c r="F55" s="608"/>
      <c r="G55" s="608"/>
      <c r="H55" s="608"/>
      <c r="I55" s="154"/>
    </row>
    <row r="56" spans="1:11" ht="21" x14ac:dyDescent="0.35">
      <c r="A56" s="154"/>
      <c r="B56" s="154"/>
      <c r="C56" s="154"/>
      <c r="D56" s="154"/>
      <c r="E56" s="154"/>
      <c r="F56" s="154"/>
      <c r="G56" s="154"/>
      <c r="H56" s="154"/>
      <c r="I56" s="154"/>
    </row>
    <row r="57" spans="1:11" ht="21" x14ac:dyDescent="0.35">
      <c r="A57" s="154"/>
      <c r="B57" s="154"/>
      <c r="C57" s="154"/>
      <c r="D57" s="154"/>
      <c r="E57" s="154"/>
      <c r="F57" s="154"/>
      <c r="G57" s="154"/>
      <c r="H57" s="154"/>
      <c r="I57" s="154"/>
    </row>
    <row r="58" spans="1:11" ht="21" x14ac:dyDescent="0.35">
      <c r="A58" s="154"/>
      <c r="B58" s="154"/>
      <c r="C58" s="154"/>
      <c r="D58" s="154"/>
      <c r="E58" s="154"/>
      <c r="F58" s="154"/>
      <c r="G58" s="154"/>
      <c r="H58" s="154"/>
      <c r="I58" s="154"/>
    </row>
    <row r="59" spans="1:11" ht="21" x14ac:dyDescent="0.35">
      <c r="A59" s="154"/>
      <c r="B59" s="154"/>
      <c r="C59" s="154"/>
      <c r="D59" s="154"/>
      <c r="E59" s="154"/>
      <c r="F59" s="154"/>
      <c r="G59" s="154"/>
      <c r="H59" s="154"/>
      <c r="I59" s="154"/>
    </row>
  </sheetData>
  <sheetProtection password="CCFC" sheet="1" objects="1" scenarios="1" selectLockedCells="1" selectUnlockedCells="1"/>
  <mergeCells count="6">
    <mergeCell ref="E10:F10"/>
    <mergeCell ref="A3:H3"/>
    <mergeCell ref="A4:H4"/>
    <mergeCell ref="A54:H54"/>
    <mergeCell ref="A55:H55"/>
    <mergeCell ref="A52:H5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34" workbookViewId="0">
      <selection activeCell="C46" sqref="C45:C46"/>
    </sheetView>
  </sheetViews>
  <sheetFormatPr defaultRowHeight="15" x14ac:dyDescent="0.25"/>
  <cols>
    <col min="1" max="1" width="10.42578125" style="137" customWidth="1"/>
    <col min="2" max="2" width="9.7109375" style="137" customWidth="1"/>
    <col min="3" max="3" width="41.42578125" style="137" customWidth="1"/>
    <col min="4" max="4" width="11.7109375" style="137" customWidth="1"/>
    <col min="5" max="5" width="12.140625" style="137" customWidth="1"/>
    <col min="6" max="6" width="13.140625" style="137" customWidth="1"/>
    <col min="7" max="8" width="13.7109375" style="137" customWidth="1"/>
    <col min="9" max="9" width="13.85546875" style="137" bestFit="1" customWidth="1"/>
    <col min="10" max="10" width="9.140625" style="137"/>
    <col min="11" max="11" width="14.28515625" style="137" bestFit="1" customWidth="1"/>
    <col min="12" max="12" width="9.140625" style="137"/>
    <col min="13" max="13" width="14.28515625" style="137" bestFit="1" customWidth="1"/>
    <col min="14" max="16384" width="9.140625" style="137"/>
  </cols>
  <sheetData>
    <row r="1" spans="1:11" x14ac:dyDescent="0.25">
      <c r="A1" s="137" t="s">
        <v>366</v>
      </c>
      <c r="H1" s="137" t="s">
        <v>365</v>
      </c>
    </row>
    <row r="3" spans="1:11" ht="21" x14ac:dyDescent="0.35">
      <c r="A3" s="586" t="s">
        <v>364</v>
      </c>
      <c r="B3" s="586"/>
      <c r="C3" s="586"/>
      <c r="D3" s="586"/>
      <c r="E3" s="586"/>
      <c r="F3" s="586"/>
      <c r="G3" s="586"/>
      <c r="H3" s="586"/>
      <c r="I3" s="323"/>
      <c r="J3" s="323"/>
      <c r="K3" s="323"/>
    </row>
    <row r="4" spans="1:11" ht="21" x14ac:dyDescent="0.35">
      <c r="A4" s="586" t="s">
        <v>71</v>
      </c>
      <c r="B4" s="586"/>
      <c r="C4" s="586"/>
      <c r="D4" s="586"/>
      <c r="E4" s="586"/>
      <c r="F4" s="586"/>
      <c r="G4" s="586"/>
      <c r="H4" s="586"/>
    </row>
    <row r="5" spans="1:11" ht="21" x14ac:dyDescent="0.35">
      <c r="A5" s="268"/>
      <c r="B5" s="268"/>
      <c r="C5" s="268"/>
      <c r="D5" s="268"/>
      <c r="E5" s="268"/>
      <c r="F5" s="268"/>
      <c r="G5" s="268"/>
      <c r="H5" s="268"/>
    </row>
    <row r="6" spans="1:11" ht="21" x14ac:dyDescent="0.35">
      <c r="A6" s="324" t="s">
        <v>367</v>
      </c>
      <c r="B6" s="268"/>
      <c r="C6" s="268"/>
      <c r="D6" s="268"/>
      <c r="E6" s="268"/>
      <c r="F6" s="268"/>
      <c r="G6" s="268"/>
      <c r="H6" s="268"/>
    </row>
    <row r="7" spans="1:11" ht="21" x14ac:dyDescent="0.35">
      <c r="A7" s="324" t="s">
        <v>362</v>
      </c>
      <c r="B7" s="268"/>
      <c r="C7" s="268"/>
      <c r="D7" s="268"/>
      <c r="E7" s="268"/>
      <c r="F7" s="268"/>
      <c r="G7" s="268"/>
      <c r="H7" s="268"/>
    </row>
    <row r="8" spans="1:11" ht="21" x14ac:dyDescent="0.35">
      <c r="A8" s="324" t="s">
        <v>361</v>
      </c>
      <c r="B8" s="268"/>
      <c r="C8" s="268"/>
      <c r="D8" s="268"/>
      <c r="E8" s="268"/>
      <c r="F8" s="268"/>
      <c r="G8" s="268"/>
      <c r="H8" s="268"/>
    </row>
    <row r="9" spans="1:11" ht="21" x14ac:dyDescent="0.35">
      <c r="A9" s="158"/>
      <c r="B9" s="158"/>
      <c r="C9" s="158"/>
      <c r="D9" s="158"/>
      <c r="E9" s="158"/>
      <c r="F9" s="158"/>
      <c r="G9" s="158"/>
      <c r="H9" s="158"/>
    </row>
    <row r="10" spans="1:11" ht="45" x14ac:dyDescent="0.25">
      <c r="A10" s="269" t="s">
        <v>360</v>
      </c>
      <c r="B10" s="89" t="s">
        <v>359</v>
      </c>
      <c r="C10" s="89" t="s">
        <v>358</v>
      </c>
      <c r="D10" s="89" t="s">
        <v>2</v>
      </c>
      <c r="E10" s="610" t="s">
        <v>357</v>
      </c>
      <c r="F10" s="610"/>
      <c r="G10" s="89"/>
      <c r="H10" s="89" t="s">
        <v>3</v>
      </c>
      <c r="I10" s="325"/>
      <c r="J10" s="325"/>
      <c r="K10" s="325"/>
    </row>
    <row r="11" spans="1:11" ht="45" x14ac:dyDescent="0.25">
      <c r="A11" s="90"/>
      <c r="B11" s="90"/>
      <c r="C11" s="90"/>
      <c r="D11" s="90" t="s">
        <v>4</v>
      </c>
      <c r="E11" s="269" t="s">
        <v>356</v>
      </c>
      <c r="F11" s="269" t="s">
        <v>119</v>
      </c>
      <c r="G11" s="270" t="s">
        <v>62</v>
      </c>
      <c r="H11" s="90" t="s">
        <v>6</v>
      </c>
      <c r="I11" s="325"/>
      <c r="J11" s="325"/>
      <c r="K11" s="325"/>
    </row>
    <row r="12" spans="1:11" x14ac:dyDescent="0.25">
      <c r="A12" s="90"/>
      <c r="B12" s="90"/>
      <c r="C12" s="90"/>
      <c r="D12" s="90"/>
      <c r="E12" s="90" t="s">
        <v>4</v>
      </c>
      <c r="F12" s="90" t="s">
        <v>7</v>
      </c>
      <c r="G12" s="90"/>
      <c r="H12" s="90"/>
      <c r="I12" s="325"/>
      <c r="J12" s="325"/>
      <c r="K12" s="325"/>
    </row>
    <row r="13" spans="1:11" x14ac:dyDescent="0.25">
      <c r="A13" s="90"/>
      <c r="B13" s="90"/>
      <c r="C13" s="90"/>
      <c r="D13" s="90">
        <v>2016</v>
      </c>
      <c r="E13" s="90">
        <v>2017</v>
      </c>
      <c r="F13" s="90">
        <v>2017</v>
      </c>
      <c r="G13" s="90"/>
      <c r="H13" s="90">
        <v>2018</v>
      </c>
      <c r="I13" s="325"/>
      <c r="J13" s="325"/>
      <c r="K13" s="325"/>
    </row>
    <row r="14" spans="1:11" x14ac:dyDescent="0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5"/>
      <c r="J14" s="325"/>
      <c r="K14" s="325"/>
    </row>
    <row r="15" spans="1:11" ht="30" x14ac:dyDescent="0.25">
      <c r="A15" s="327" t="s">
        <v>368</v>
      </c>
      <c r="B15" s="328" t="s">
        <v>369</v>
      </c>
      <c r="C15" s="329" t="s">
        <v>355</v>
      </c>
      <c r="D15" s="330"/>
      <c r="E15" s="330"/>
      <c r="F15" s="330"/>
      <c r="G15" s="330"/>
      <c r="H15" s="330"/>
      <c r="I15" s="325"/>
      <c r="J15" s="325"/>
      <c r="K15" s="325"/>
    </row>
    <row r="16" spans="1:11" x14ac:dyDescent="0.25">
      <c r="A16" s="331"/>
      <c r="B16" s="332"/>
      <c r="C16" s="333" t="s">
        <v>370</v>
      </c>
      <c r="D16" s="334"/>
      <c r="E16" s="335"/>
      <c r="F16" s="335"/>
      <c r="G16" s="335"/>
      <c r="H16" s="336"/>
      <c r="I16" s="325"/>
      <c r="J16" s="325"/>
      <c r="K16" s="325"/>
    </row>
    <row r="17" spans="1:11" ht="30" x14ac:dyDescent="0.25">
      <c r="A17" s="337"/>
      <c r="B17" s="338"/>
      <c r="C17" s="339" t="s">
        <v>371</v>
      </c>
      <c r="D17" s="340"/>
      <c r="E17" s="340"/>
      <c r="F17" s="340"/>
      <c r="G17" s="340"/>
      <c r="H17" s="341"/>
      <c r="I17" s="325"/>
      <c r="J17" s="325"/>
      <c r="K17" s="325"/>
    </row>
    <row r="18" spans="1:11" x14ac:dyDescent="0.25">
      <c r="A18" s="326"/>
      <c r="B18" s="342"/>
      <c r="C18" s="343" t="s">
        <v>372</v>
      </c>
      <c r="D18" s="344"/>
      <c r="E18" s="344"/>
      <c r="F18" s="344"/>
      <c r="G18" s="344"/>
      <c r="H18" s="345">
        <v>50000</v>
      </c>
      <c r="I18" s="325"/>
      <c r="J18" s="325"/>
      <c r="K18" s="325"/>
    </row>
    <row r="19" spans="1:11" x14ac:dyDescent="0.25">
      <c r="A19" s="326"/>
      <c r="B19" s="342"/>
      <c r="C19" s="343" t="s">
        <v>373</v>
      </c>
      <c r="D19" s="344"/>
      <c r="E19" s="344"/>
      <c r="F19" s="344"/>
      <c r="G19" s="344"/>
      <c r="H19" s="345">
        <v>500000</v>
      </c>
      <c r="I19" s="325"/>
      <c r="J19" s="325"/>
      <c r="K19" s="325"/>
    </row>
    <row r="20" spans="1:11" x14ac:dyDescent="0.25">
      <c r="A20" s="326"/>
      <c r="B20" s="342"/>
      <c r="C20" s="343" t="s">
        <v>374</v>
      </c>
      <c r="D20" s="344"/>
      <c r="E20" s="344"/>
      <c r="F20" s="344"/>
      <c r="G20" s="344"/>
      <c r="H20" s="345">
        <v>200000</v>
      </c>
      <c r="I20" s="325"/>
      <c r="J20" s="325"/>
      <c r="K20" s="325"/>
    </row>
    <row r="21" spans="1:11" ht="30" x14ac:dyDescent="0.25">
      <c r="A21" s="326"/>
      <c r="B21" s="342"/>
      <c r="C21" s="343" t="s">
        <v>375</v>
      </c>
      <c r="D21" s="344"/>
      <c r="E21" s="344"/>
      <c r="F21" s="344"/>
      <c r="G21" s="344"/>
      <c r="H21" s="345">
        <v>400000</v>
      </c>
      <c r="I21" s="325"/>
      <c r="J21" s="325"/>
      <c r="K21" s="325"/>
    </row>
    <row r="22" spans="1:11" x14ac:dyDescent="0.25">
      <c r="A22" s="326"/>
      <c r="B22" s="342"/>
      <c r="C22" s="346" t="s">
        <v>376</v>
      </c>
      <c r="D22" s="344"/>
      <c r="E22" s="344"/>
      <c r="F22" s="344"/>
      <c r="G22" s="344"/>
      <c r="H22" s="345"/>
      <c r="I22" s="325"/>
      <c r="J22" s="325"/>
      <c r="K22" s="325"/>
    </row>
    <row r="23" spans="1:11" ht="30" x14ac:dyDescent="0.25">
      <c r="A23" s="326"/>
      <c r="B23" s="342"/>
      <c r="C23" s="343" t="s">
        <v>377</v>
      </c>
      <c r="D23" s="344"/>
      <c r="E23" s="344"/>
      <c r="F23" s="344"/>
      <c r="G23" s="344"/>
      <c r="H23" s="345">
        <v>200000</v>
      </c>
      <c r="I23" s="325"/>
      <c r="J23" s="325"/>
      <c r="K23" s="325"/>
    </row>
    <row r="24" spans="1:11" x14ac:dyDescent="0.25">
      <c r="A24" s="326"/>
      <c r="B24" s="342"/>
      <c r="C24" s="343" t="s">
        <v>378</v>
      </c>
      <c r="D24" s="344"/>
      <c r="E24" s="344"/>
      <c r="F24" s="344"/>
      <c r="G24" s="344"/>
      <c r="H24" s="345">
        <v>100000</v>
      </c>
      <c r="I24" s="325"/>
      <c r="J24" s="325"/>
      <c r="K24" s="325"/>
    </row>
    <row r="25" spans="1:11" x14ac:dyDescent="0.25">
      <c r="A25" s="326"/>
      <c r="B25" s="342"/>
      <c r="C25" s="343" t="s">
        <v>379</v>
      </c>
      <c r="D25" s="344"/>
      <c r="E25" s="344"/>
      <c r="F25" s="344">
        <v>81010</v>
      </c>
      <c r="G25" s="344">
        <v>81010</v>
      </c>
      <c r="H25" s="345">
        <v>150000</v>
      </c>
      <c r="I25" s="325"/>
      <c r="J25" s="325"/>
      <c r="K25" s="325"/>
    </row>
    <row r="26" spans="1:11" ht="30" x14ac:dyDescent="0.25">
      <c r="A26" s="326"/>
      <c r="B26" s="342"/>
      <c r="C26" s="343" t="s">
        <v>380</v>
      </c>
      <c r="D26" s="344"/>
      <c r="E26" s="344"/>
      <c r="F26" s="344"/>
      <c r="G26" s="344"/>
      <c r="H26" s="345">
        <v>300000</v>
      </c>
      <c r="I26" s="325"/>
      <c r="J26" s="325"/>
      <c r="K26" s="325"/>
    </row>
    <row r="27" spans="1:11" x14ac:dyDescent="0.25">
      <c r="A27" s="326"/>
      <c r="B27" s="342"/>
      <c r="C27" s="343" t="s">
        <v>381</v>
      </c>
      <c r="D27" s="344"/>
      <c r="E27" s="344"/>
      <c r="F27" s="344">
        <v>676225.69</v>
      </c>
      <c r="G27" s="344">
        <v>676225.69</v>
      </c>
      <c r="H27" s="345">
        <v>1497821.25</v>
      </c>
      <c r="I27" s="325"/>
      <c r="J27" s="325"/>
      <c r="K27" s="325"/>
    </row>
    <row r="28" spans="1:11" x14ac:dyDescent="0.25">
      <c r="A28" s="326"/>
      <c r="B28" s="342"/>
      <c r="C28" s="343" t="s">
        <v>382</v>
      </c>
      <c r="D28" s="344"/>
      <c r="E28" s="344"/>
      <c r="F28" s="344"/>
      <c r="G28" s="344"/>
      <c r="H28" s="345">
        <v>500000</v>
      </c>
      <c r="I28" s="325"/>
      <c r="J28" s="325"/>
      <c r="K28" s="325"/>
    </row>
    <row r="29" spans="1:11" x14ac:dyDescent="0.25">
      <c r="A29" s="326"/>
      <c r="B29" s="342"/>
      <c r="C29" s="343" t="s">
        <v>383</v>
      </c>
      <c r="D29" s="344"/>
      <c r="E29" s="344"/>
      <c r="F29" s="344">
        <v>1960385.2</v>
      </c>
      <c r="G29" s="344">
        <f>44782+1915603.2</f>
        <v>1960385.2</v>
      </c>
      <c r="H29" s="345">
        <v>1044916.24</v>
      </c>
      <c r="I29" s="325"/>
      <c r="J29" s="325"/>
      <c r="K29" s="325"/>
    </row>
    <row r="30" spans="1:11" x14ac:dyDescent="0.25">
      <c r="A30" s="347"/>
      <c r="B30" s="134"/>
      <c r="C30" s="348" t="s">
        <v>348</v>
      </c>
      <c r="D30" s="349">
        <f>SUM(D16:D17)</f>
        <v>0</v>
      </c>
      <c r="E30" s="349">
        <f>SUM(E16:E17)</f>
        <v>0</v>
      </c>
      <c r="F30" s="349">
        <f>SUM(F16:F17)</f>
        <v>0</v>
      </c>
      <c r="G30" s="349"/>
      <c r="H30" s="349">
        <f>SUM(H16:H29)</f>
        <v>4942737.49</v>
      </c>
      <c r="I30" s="325"/>
      <c r="J30" s="325"/>
      <c r="K30" s="325"/>
    </row>
    <row r="31" spans="1:11" x14ac:dyDescent="0.25">
      <c r="A31" s="350"/>
      <c r="B31" s="351"/>
      <c r="C31" s="352" t="s">
        <v>95</v>
      </c>
      <c r="D31" s="353"/>
      <c r="E31" s="353"/>
      <c r="F31" s="353"/>
      <c r="G31" s="353"/>
      <c r="H31" s="353"/>
      <c r="I31" s="325"/>
      <c r="J31" s="325"/>
      <c r="K31" s="325"/>
    </row>
    <row r="32" spans="1:11" x14ac:dyDescent="0.25">
      <c r="A32" s="350"/>
      <c r="B32" s="351"/>
      <c r="C32" s="354" t="s">
        <v>384</v>
      </c>
      <c r="D32" s="353"/>
      <c r="E32" s="353"/>
      <c r="F32" s="355">
        <v>400000</v>
      </c>
      <c r="G32" s="356">
        <f>327390.55+72609.45</f>
        <v>400000</v>
      </c>
      <c r="H32" s="355"/>
      <c r="I32" s="325"/>
      <c r="J32" s="325"/>
      <c r="K32" s="325"/>
    </row>
    <row r="33" spans="1:13" x14ac:dyDescent="0.25">
      <c r="A33" s="331"/>
      <c r="B33" s="332"/>
      <c r="C33" s="333" t="s">
        <v>385</v>
      </c>
      <c r="D33" s="334"/>
      <c r="E33" s="334"/>
      <c r="F33" s="334"/>
      <c r="G33" s="334"/>
      <c r="H33" s="334"/>
      <c r="I33" s="357"/>
      <c r="J33" s="325"/>
      <c r="K33" s="325"/>
    </row>
    <row r="34" spans="1:13" x14ac:dyDescent="0.25">
      <c r="A34" s="331"/>
      <c r="B34" s="332"/>
      <c r="C34" s="358" t="s">
        <v>386</v>
      </c>
      <c r="D34" s="359"/>
      <c r="E34" s="359"/>
      <c r="F34" s="360"/>
      <c r="G34" s="360"/>
      <c r="H34" s="360"/>
      <c r="I34" s="357"/>
      <c r="J34" s="325"/>
      <c r="K34" s="325"/>
    </row>
    <row r="35" spans="1:13" ht="30" x14ac:dyDescent="0.25">
      <c r="A35" s="326"/>
      <c r="B35" s="342"/>
      <c r="C35" s="343" t="s">
        <v>387</v>
      </c>
      <c r="D35" s="344"/>
      <c r="E35" s="344"/>
      <c r="F35" s="344">
        <v>33689.25</v>
      </c>
      <c r="G35" s="344">
        <v>33689.25</v>
      </c>
      <c r="H35" s="345">
        <v>50000</v>
      </c>
      <c r="I35" s="325"/>
      <c r="J35" s="325"/>
      <c r="K35" s="325"/>
    </row>
    <row r="36" spans="1:13" x14ac:dyDescent="0.25">
      <c r="A36" s="347"/>
      <c r="B36" s="347"/>
      <c r="C36" s="348" t="s">
        <v>321</v>
      </c>
      <c r="D36" s="349">
        <f>SUM(D32:D35)</f>
        <v>0</v>
      </c>
      <c r="E36" s="349">
        <f>SUM(E32:E35)</f>
        <v>0</v>
      </c>
      <c r="F36" s="349">
        <f>SUM(F25:F35)</f>
        <v>3151310.1399999997</v>
      </c>
      <c r="G36" s="349">
        <f>SUM(G25:G35)</f>
        <v>3151310.1399999997</v>
      </c>
      <c r="H36" s="349">
        <f>SUM(H35)</f>
        <v>50000</v>
      </c>
      <c r="I36" s="357"/>
      <c r="J36" s="325"/>
      <c r="K36" s="325"/>
    </row>
    <row r="37" spans="1:13" x14ac:dyDescent="0.25">
      <c r="A37" s="36"/>
      <c r="B37" s="36"/>
      <c r="C37" s="36" t="s">
        <v>320</v>
      </c>
      <c r="D37" s="69">
        <f>D30+D36</f>
        <v>0</v>
      </c>
      <c r="E37" s="69">
        <f>E30+E36</f>
        <v>0</v>
      </c>
      <c r="F37" s="69">
        <f>SUM(F36)</f>
        <v>3151310.1399999997</v>
      </c>
      <c r="G37" s="69">
        <f>SUM(G36)</f>
        <v>3151310.1399999997</v>
      </c>
      <c r="H37" s="69">
        <f>H30+H36</f>
        <v>4992737.49</v>
      </c>
    </row>
    <row r="38" spans="1:13" x14ac:dyDescent="0.25">
      <c r="D38" s="136"/>
      <c r="E38" s="136"/>
      <c r="F38" s="136"/>
      <c r="G38" s="136"/>
      <c r="H38" s="136"/>
      <c r="M38" s="160"/>
    </row>
    <row r="39" spans="1:13" ht="36.75" customHeight="1" x14ac:dyDescent="0.35">
      <c r="A39" s="608" t="s">
        <v>388</v>
      </c>
      <c r="B39" s="608"/>
      <c r="C39" s="608"/>
      <c r="D39" s="608"/>
      <c r="E39" s="608"/>
      <c r="F39" s="608"/>
      <c r="G39" s="608"/>
      <c r="H39" s="608"/>
      <c r="I39" s="158"/>
      <c r="K39" s="160"/>
    </row>
    <row r="40" spans="1:13" ht="21" x14ac:dyDescent="0.35">
      <c r="A40" s="158"/>
      <c r="B40" s="158"/>
      <c r="C40" s="361"/>
      <c r="E40" s="361"/>
      <c r="H40" s="361"/>
      <c r="I40" s="158"/>
    </row>
    <row r="41" spans="1:13" ht="41.25" customHeight="1" x14ac:dyDescent="0.35">
      <c r="A41" s="158"/>
      <c r="B41" s="158"/>
      <c r="C41" s="361"/>
      <c r="E41" s="361"/>
      <c r="H41" s="361"/>
      <c r="I41" s="158"/>
    </row>
    <row r="42" spans="1:13" ht="21" x14ac:dyDescent="0.35">
      <c r="A42" s="607" t="s">
        <v>389</v>
      </c>
      <c r="B42" s="607"/>
      <c r="C42" s="607"/>
      <c r="D42" s="607"/>
      <c r="E42" s="607"/>
      <c r="F42" s="607"/>
      <c r="G42" s="607"/>
      <c r="H42" s="607"/>
      <c r="I42" s="158"/>
    </row>
    <row r="43" spans="1:13" ht="21" x14ac:dyDescent="0.35">
      <c r="A43" s="608" t="s">
        <v>390</v>
      </c>
      <c r="B43" s="608"/>
      <c r="C43" s="608"/>
      <c r="D43" s="608"/>
      <c r="E43" s="608"/>
      <c r="F43" s="608"/>
      <c r="G43" s="608"/>
      <c r="H43" s="608"/>
      <c r="I43" s="158"/>
    </row>
    <row r="44" spans="1:13" ht="21" x14ac:dyDescent="0.35">
      <c r="A44" s="158"/>
      <c r="B44" s="158"/>
      <c r="C44" s="158"/>
      <c r="D44" s="158"/>
      <c r="E44" s="158"/>
      <c r="F44" s="158"/>
      <c r="G44" s="158"/>
      <c r="H44" s="158"/>
      <c r="I44" s="158"/>
    </row>
    <row r="45" spans="1:13" ht="21" x14ac:dyDescent="0.35">
      <c r="A45" s="158"/>
      <c r="B45" s="158"/>
      <c r="C45" s="158"/>
      <c r="D45" s="158"/>
      <c r="E45" s="158"/>
      <c r="F45" s="158"/>
      <c r="G45" s="158"/>
      <c r="H45" s="158"/>
      <c r="I45" s="158"/>
    </row>
    <row r="46" spans="1:13" ht="21" x14ac:dyDescent="0.35">
      <c r="A46" s="158"/>
      <c r="B46" s="158"/>
      <c r="C46" s="158"/>
      <c r="D46" s="158"/>
      <c r="E46" s="158"/>
      <c r="F46" s="158"/>
      <c r="G46" s="158"/>
      <c r="H46" s="158"/>
      <c r="I46" s="158"/>
    </row>
    <row r="47" spans="1:13" ht="21" x14ac:dyDescent="0.35">
      <c r="A47" s="158"/>
      <c r="B47" s="158"/>
      <c r="C47" s="158"/>
      <c r="D47" s="158"/>
      <c r="E47" s="158"/>
      <c r="F47" s="158"/>
      <c r="G47" s="158"/>
      <c r="H47" s="158"/>
      <c r="I47" s="158"/>
    </row>
  </sheetData>
  <sheetProtection password="CCFC" sheet="1" objects="1" scenarios="1" selectLockedCells="1" selectUnlockedCells="1"/>
  <mergeCells count="6">
    <mergeCell ref="A43:H43"/>
    <mergeCell ref="A3:H3"/>
    <mergeCell ref="A4:H4"/>
    <mergeCell ref="E10:F10"/>
    <mergeCell ref="A39:H39"/>
    <mergeCell ref="A42:H4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3" workbookViewId="0">
      <selection activeCell="C31" sqref="C31"/>
    </sheetView>
  </sheetViews>
  <sheetFormatPr defaultRowHeight="15" x14ac:dyDescent="0.25"/>
  <cols>
    <col min="1" max="1" width="9.42578125" style="137" customWidth="1"/>
    <col min="2" max="2" width="10.5703125" style="137" customWidth="1"/>
    <col min="3" max="3" width="39.7109375" style="137" customWidth="1"/>
    <col min="4" max="4" width="12" style="137" customWidth="1"/>
    <col min="5" max="5" width="12.42578125" style="137" customWidth="1"/>
    <col min="6" max="6" width="12.85546875" style="137" customWidth="1"/>
    <col min="7" max="7" width="12.140625" style="137" customWidth="1"/>
    <col min="8" max="8" width="14.85546875" style="137" customWidth="1"/>
    <col min="9" max="9" width="13.85546875" style="137" bestFit="1" customWidth="1"/>
    <col min="10" max="10" width="9.140625" style="137"/>
    <col min="11" max="11" width="14.28515625" style="137" bestFit="1" customWidth="1"/>
    <col min="12" max="12" width="9.140625" style="137"/>
    <col min="13" max="13" width="14.28515625" style="137" bestFit="1" customWidth="1"/>
    <col min="14" max="16384" width="9.140625" style="137"/>
  </cols>
  <sheetData>
    <row r="1" spans="1:11" x14ac:dyDescent="0.25">
      <c r="A1" s="137" t="s">
        <v>366</v>
      </c>
      <c r="H1" s="137" t="s">
        <v>365</v>
      </c>
    </row>
    <row r="3" spans="1:11" ht="21" x14ac:dyDescent="0.35">
      <c r="A3" s="586" t="s">
        <v>364</v>
      </c>
      <c r="B3" s="586"/>
      <c r="C3" s="586"/>
      <c r="D3" s="586"/>
      <c r="E3" s="586"/>
      <c r="F3" s="586"/>
      <c r="G3" s="586"/>
      <c r="H3" s="586"/>
      <c r="I3" s="323"/>
      <c r="J3" s="323"/>
      <c r="K3" s="323"/>
    </row>
    <row r="4" spans="1:11" ht="21" x14ac:dyDescent="0.35">
      <c r="A4" s="586" t="s">
        <v>401</v>
      </c>
      <c r="B4" s="586"/>
      <c r="C4" s="586"/>
      <c r="D4" s="586"/>
      <c r="E4" s="586"/>
      <c r="F4" s="586"/>
      <c r="G4" s="586"/>
      <c r="H4" s="586"/>
    </row>
    <row r="5" spans="1:11" ht="21" x14ac:dyDescent="0.35">
      <c r="A5" s="268"/>
      <c r="B5" s="268"/>
      <c r="C5" s="268"/>
      <c r="D5" s="268"/>
      <c r="E5" s="268"/>
      <c r="F5" s="268"/>
      <c r="G5" s="268"/>
      <c r="H5" s="268"/>
    </row>
    <row r="6" spans="1:11" ht="21" x14ac:dyDescent="0.35">
      <c r="A6" s="155" t="s">
        <v>123</v>
      </c>
      <c r="B6" s="268"/>
      <c r="C6" s="268"/>
      <c r="D6" s="268"/>
      <c r="E6" s="268"/>
      <c r="F6" s="268"/>
      <c r="G6" s="268"/>
      <c r="H6" s="268"/>
    </row>
    <row r="7" spans="1:11" ht="21" x14ac:dyDescent="0.35">
      <c r="A7" s="154" t="s">
        <v>122</v>
      </c>
      <c r="B7" s="268"/>
      <c r="C7" s="268"/>
      <c r="D7" s="268"/>
      <c r="E7" s="268"/>
      <c r="F7" s="268"/>
      <c r="G7" s="268"/>
      <c r="H7" s="268"/>
    </row>
    <row r="8" spans="1:11" ht="21" x14ac:dyDescent="0.35">
      <c r="A8" s="154" t="s">
        <v>90</v>
      </c>
      <c r="B8" s="268"/>
      <c r="C8" s="268"/>
      <c r="D8" s="268"/>
      <c r="E8" s="268"/>
      <c r="F8" s="268"/>
      <c r="G8" s="268"/>
      <c r="H8" s="268"/>
    </row>
    <row r="9" spans="1:11" ht="21" x14ac:dyDescent="0.35">
      <c r="A9" s="158"/>
      <c r="B9" s="158"/>
      <c r="C9" s="158"/>
      <c r="D9" s="158"/>
      <c r="E9" s="158"/>
      <c r="F9" s="158"/>
      <c r="G9" s="158"/>
      <c r="H9" s="158"/>
    </row>
    <row r="10" spans="1:11" ht="45" x14ac:dyDescent="0.25">
      <c r="A10" s="269" t="s">
        <v>360</v>
      </c>
      <c r="B10" s="89" t="s">
        <v>359</v>
      </c>
      <c r="C10" s="89" t="s">
        <v>358</v>
      </c>
      <c r="D10" s="89" t="s">
        <v>2</v>
      </c>
      <c r="E10" s="610" t="s">
        <v>357</v>
      </c>
      <c r="F10" s="610"/>
      <c r="G10" s="89"/>
      <c r="H10" s="89" t="s">
        <v>3</v>
      </c>
      <c r="I10" s="325"/>
      <c r="J10" s="325"/>
      <c r="K10" s="325"/>
    </row>
    <row r="11" spans="1:11" ht="45" x14ac:dyDescent="0.25">
      <c r="A11" s="90"/>
      <c r="B11" s="90"/>
      <c r="C11" s="90"/>
      <c r="D11" s="90" t="s">
        <v>4</v>
      </c>
      <c r="E11" s="269" t="s">
        <v>356</v>
      </c>
      <c r="F11" s="269" t="s">
        <v>119</v>
      </c>
      <c r="G11" s="270" t="s">
        <v>62</v>
      </c>
      <c r="H11" s="90" t="s">
        <v>6</v>
      </c>
      <c r="I11" s="325"/>
      <c r="J11" s="325"/>
      <c r="K11" s="325"/>
    </row>
    <row r="12" spans="1:11" x14ac:dyDescent="0.25">
      <c r="A12" s="90"/>
      <c r="B12" s="90"/>
      <c r="C12" s="90"/>
      <c r="D12" s="90"/>
      <c r="E12" s="90" t="s">
        <v>4</v>
      </c>
      <c r="F12" s="90" t="s">
        <v>7</v>
      </c>
      <c r="G12" s="90"/>
      <c r="H12" s="90"/>
      <c r="I12" s="325"/>
      <c r="J12" s="325"/>
      <c r="K12" s="325"/>
    </row>
    <row r="13" spans="1:11" x14ac:dyDescent="0.25">
      <c r="A13" s="90"/>
      <c r="B13" s="90"/>
      <c r="C13" s="90"/>
      <c r="D13" s="90">
        <v>2016</v>
      </c>
      <c r="E13" s="90">
        <v>2017</v>
      </c>
      <c r="F13" s="90">
        <v>2017</v>
      </c>
      <c r="G13" s="90"/>
      <c r="H13" s="90">
        <v>2018</v>
      </c>
      <c r="I13" s="325"/>
      <c r="J13" s="325"/>
      <c r="K13" s="325"/>
    </row>
    <row r="14" spans="1:11" x14ac:dyDescent="0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5"/>
      <c r="J14" s="325"/>
      <c r="K14" s="325"/>
    </row>
    <row r="15" spans="1:11" ht="30" x14ac:dyDescent="0.25">
      <c r="A15" s="327" t="s">
        <v>368</v>
      </c>
      <c r="B15" s="328"/>
      <c r="C15" s="329" t="s">
        <v>400</v>
      </c>
      <c r="D15" s="330"/>
      <c r="E15" s="330"/>
      <c r="F15" s="330"/>
      <c r="G15" s="330"/>
      <c r="H15" s="330"/>
      <c r="I15" s="325"/>
      <c r="J15" s="325"/>
      <c r="K15" s="325"/>
    </row>
    <row r="16" spans="1:11" x14ac:dyDescent="0.25">
      <c r="A16" s="331"/>
      <c r="B16" s="611" t="s">
        <v>399</v>
      </c>
      <c r="C16" s="333" t="s">
        <v>398</v>
      </c>
      <c r="D16" s="334"/>
      <c r="E16" s="335"/>
      <c r="F16" s="335"/>
      <c r="G16" s="335"/>
      <c r="H16" s="336"/>
      <c r="I16" s="325"/>
      <c r="J16" s="325"/>
      <c r="K16" s="325"/>
    </row>
    <row r="17" spans="1:13" x14ac:dyDescent="0.25">
      <c r="A17" s="331"/>
      <c r="B17" s="590"/>
      <c r="C17" s="333" t="s">
        <v>397</v>
      </c>
      <c r="D17" s="334"/>
      <c r="E17" s="334"/>
      <c r="F17" s="334"/>
      <c r="G17" s="334"/>
      <c r="H17" s="334"/>
      <c r="I17" s="325"/>
      <c r="J17" s="325"/>
      <c r="K17" s="325"/>
    </row>
    <row r="18" spans="1:13" x14ac:dyDescent="0.25">
      <c r="A18" s="331"/>
      <c r="B18" s="612"/>
      <c r="C18" s="333" t="s">
        <v>396</v>
      </c>
      <c r="D18" s="334"/>
      <c r="E18" s="334"/>
      <c r="F18" s="334"/>
      <c r="G18" s="334"/>
      <c r="H18" s="334"/>
      <c r="I18" s="325"/>
      <c r="J18" s="325"/>
      <c r="K18" s="325"/>
    </row>
    <row r="19" spans="1:13" ht="30" x14ac:dyDescent="0.25">
      <c r="A19" s="331"/>
      <c r="B19" s="363" t="s">
        <v>395</v>
      </c>
      <c r="C19" s="362" t="s">
        <v>394</v>
      </c>
      <c r="D19" s="334"/>
      <c r="E19" s="334"/>
      <c r="F19" s="334"/>
      <c r="G19" s="334"/>
      <c r="H19" s="334"/>
      <c r="I19" s="325"/>
      <c r="J19" s="325"/>
      <c r="K19" s="325"/>
    </row>
    <row r="20" spans="1:13" x14ac:dyDescent="0.25">
      <c r="A20" s="331"/>
      <c r="B20" s="332"/>
      <c r="C20" s="358"/>
      <c r="D20" s="334"/>
      <c r="E20" s="334"/>
      <c r="F20" s="334"/>
      <c r="G20" s="334"/>
      <c r="H20" s="360"/>
      <c r="I20" s="325"/>
      <c r="J20" s="325"/>
      <c r="K20" s="325"/>
    </row>
    <row r="21" spans="1:13" ht="30" hidden="1" x14ac:dyDescent="0.25">
      <c r="A21" s="337"/>
      <c r="B21" s="338"/>
      <c r="C21" s="339" t="s">
        <v>371</v>
      </c>
      <c r="D21" s="340"/>
      <c r="E21" s="340"/>
      <c r="F21" s="340"/>
      <c r="G21" s="340"/>
      <c r="H21" s="341"/>
      <c r="I21" s="325"/>
      <c r="J21" s="325"/>
      <c r="K21" s="325"/>
    </row>
    <row r="22" spans="1:13" x14ac:dyDescent="0.25">
      <c r="A22" s="347"/>
      <c r="B22" s="134"/>
      <c r="C22" s="348" t="s">
        <v>348</v>
      </c>
      <c r="D22" s="349">
        <f>SUM(D16:D21)</f>
        <v>0</v>
      </c>
      <c r="E22" s="349">
        <f>SUM(E16:E21)</f>
        <v>0</v>
      </c>
      <c r="F22" s="349">
        <f>SUM(F16:F21)</f>
        <v>0</v>
      </c>
      <c r="G22" s="349"/>
      <c r="H22" s="349"/>
      <c r="I22" s="325"/>
      <c r="J22" s="325"/>
      <c r="K22" s="325"/>
    </row>
    <row r="23" spans="1:13" x14ac:dyDescent="0.25">
      <c r="A23" s="36"/>
      <c r="B23" s="36"/>
      <c r="C23" s="36" t="s">
        <v>320</v>
      </c>
      <c r="D23" s="69">
        <v>0</v>
      </c>
      <c r="E23" s="69">
        <v>0</v>
      </c>
      <c r="F23" s="69">
        <v>0</v>
      </c>
      <c r="G23" s="69"/>
      <c r="H23" s="69"/>
    </row>
    <row r="24" spans="1:13" x14ac:dyDescent="0.25">
      <c r="D24" s="136"/>
      <c r="E24" s="136"/>
      <c r="F24" s="136"/>
      <c r="G24" s="136"/>
      <c r="H24" s="136"/>
      <c r="M24" s="160"/>
    </row>
    <row r="25" spans="1:13" ht="21" x14ac:dyDescent="0.35">
      <c r="A25" s="608" t="s">
        <v>393</v>
      </c>
      <c r="B25" s="608"/>
      <c r="C25" s="608"/>
      <c r="D25" s="608"/>
      <c r="E25" s="608"/>
      <c r="F25" s="608"/>
      <c r="G25" s="608"/>
      <c r="H25" s="608"/>
      <c r="I25" s="158"/>
      <c r="K25" s="160"/>
    </row>
    <row r="26" spans="1:13" ht="21" x14ac:dyDescent="0.35">
      <c r="A26" s="158"/>
      <c r="B26" s="158"/>
      <c r="C26" s="361"/>
      <c r="E26" s="361"/>
      <c r="H26" s="361"/>
      <c r="I26" s="158"/>
    </row>
    <row r="27" spans="1:13" ht="21" x14ac:dyDescent="0.35">
      <c r="A27" s="158"/>
      <c r="B27" s="158"/>
      <c r="C27" s="361"/>
      <c r="E27" s="361"/>
      <c r="H27" s="361"/>
      <c r="I27" s="158"/>
    </row>
    <row r="28" spans="1:13" ht="21" x14ac:dyDescent="0.35">
      <c r="A28" s="607" t="s">
        <v>392</v>
      </c>
      <c r="B28" s="607"/>
      <c r="C28" s="607"/>
      <c r="D28" s="607"/>
      <c r="E28" s="607"/>
      <c r="F28" s="607"/>
      <c r="G28" s="607"/>
      <c r="H28" s="607"/>
      <c r="I28" s="158"/>
    </row>
    <row r="29" spans="1:13" ht="21" x14ac:dyDescent="0.35">
      <c r="A29" s="608" t="s">
        <v>391</v>
      </c>
      <c r="B29" s="608"/>
      <c r="C29" s="608"/>
      <c r="D29" s="608"/>
      <c r="E29" s="608"/>
      <c r="F29" s="608"/>
      <c r="G29" s="608"/>
      <c r="H29" s="608"/>
      <c r="I29" s="158"/>
    </row>
    <row r="30" spans="1:13" ht="21" x14ac:dyDescent="0.35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1:13" ht="21" x14ac:dyDescent="0.35">
      <c r="A31" s="158"/>
      <c r="B31" s="158"/>
      <c r="C31" s="158"/>
      <c r="D31" s="158"/>
      <c r="E31" s="158"/>
      <c r="F31" s="158"/>
      <c r="G31" s="158"/>
      <c r="H31" s="158"/>
      <c r="I31" s="158"/>
    </row>
    <row r="32" spans="1:13" ht="21" x14ac:dyDescent="0.35">
      <c r="A32" s="158"/>
      <c r="B32" s="158"/>
      <c r="C32" s="158"/>
      <c r="D32" s="158"/>
      <c r="E32" s="158"/>
      <c r="F32" s="158"/>
      <c r="G32" s="158"/>
      <c r="H32" s="158"/>
      <c r="I32" s="158"/>
    </row>
    <row r="33" spans="1:9" ht="21" x14ac:dyDescent="0.35">
      <c r="A33" s="158"/>
      <c r="B33" s="158"/>
      <c r="C33" s="158"/>
      <c r="D33" s="158"/>
      <c r="E33" s="158"/>
      <c r="F33" s="158"/>
      <c r="G33" s="158"/>
      <c r="H33" s="158"/>
      <c r="I33" s="158"/>
    </row>
  </sheetData>
  <sheetProtection password="CCFC" sheet="1" objects="1" scenarios="1" selectLockedCells="1" selectUnlockedCells="1"/>
  <mergeCells count="7">
    <mergeCell ref="A29:H29"/>
    <mergeCell ref="B16:B18"/>
    <mergeCell ref="A3:H3"/>
    <mergeCell ref="A4:H4"/>
    <mergeCell ref="E10:F10"/>
    <mergeCell ref="A25:H25"/>
    <mergeCell ref="A28:H2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46" workbookViewId="0">
      <selection activeCell="C60" sqref="C60"/>
    </sheetView>
  </sheetViews>
  <sheetFormatPr defaultRowHeight="15" x14ac:dyDescent="0.25"/>
  <cols>
    <col min="1" max="1" width="10.42578125" style="137" customWidth="1"/>
    <col min="2" max="2" width="8.140625" style="137" customWidth="1"/>
    <col min="3" max="3" width="42.7109375" style="137" bestFit="1" customWidth="1"/>
    <col min="4" max="4" width="13.7109375" style="137" customWidth="1"/>
    <col min="5" max="5" width="13.28515625" style="137" bestFit="1" customWidth="1"/>
    <col min="6" max="6" width="14.7109375" style="137" customWidth="1"/>
    <col min="7" max="7" width="13.28515625" style="137" customWidth="1"/>
    <col min="8" max="8" width="14.140625" style="137" customWidth="1"/>
    <col min="9" max="9" width="13.85546875" style="137" bestFit="1" customWidth="1"/>
    <col min="10" max="10" width="9.140625" style="137"/>
    <col min="11" max="11" width="14.28515625" style="137" bestFit="1" customWidth="1"/>
    <col min="12" max="12" width="9.140625" style="137"/>
    <col min="13" max="13" width="14.28515625" style="137" bestFit="1" customWidth="1"/>
    <col min="14" max="16384" width="9.140625" style="137"/>
  </cols>
  <sheetData>
    <row r="1" spans="1:11" x14ac:dyDescent="0.25">
      <c r="A1" s="137" t="s">
        <v>366</v>
      </c>
      <c r="H1" s="137" t="s">
        <v>365</v>
      </c>
    </row>
    <row r="3" spans="1:11" ht="21" x14ac:dyDescent="0.35">
      <c r="A3" s="586" t="s">
        <v>364</v>
      </c>
      <c r="B3" s="586"/>
      <c r="C3" s="586"/>
      <c r="D3" s="586"/>
      <c r="E3" s="586"/>
      <c r="F3" s="586"/>
      <c r="G3" s="586"/>
      <c r="H3" s="586"/>
      <c r="I3" s="323"/>
      <c r="J3" s="323"/>
      <c r="K3" s="323"/>
    </row>
    <row r="4" spans="1:11" ht="21" x14ac:dyDescent="0.35">
      <c r="A4" s="586" t="s">
        <v>401</v>
      </c>
      <c r="B4" s="586"/>
      <c r="C4" s="586"/>
      <c r="D4" s="586"/>
      <c r="E4" s="586"/>
      <c r="F4" s="586"/>
      <c r="G4" s="586"/>
      <c r="H4" s="586"/>
    </row>
    <row r="5" spans="1:11" ht="21" x14ac:dyDescent="0.35">
      <c r="A5" s="268"/>
      <c r="B5" s="268"/>
      <c r="C5" s="268"/>
      <c r="D5" s="268"/>
      <c r="E5" s="268"/>
      <c r="F5" s="268"/>
      <c r="G5" s="268"/>
      <c r="H5" s="268"/>
    </row>
    <row r="6" spans="1:11" ht="21" x14ac:dyDescent="0.35">
      <c r="A6" s="155" t="s">
        <v>92</v>
      </c>
      <c r="B6" s="268"/>
      <c r="C6" s="268"/>
      <c r="D6" s="268"/>
      <c r="E6" s="268"/>
      <c r="F6" s="268"/>
      <c r="G6" s="268"/>
      <c r="H6" s="268"/>
    </row>
    <row r="7" spans="1:11" ht="21" x14ac:dyDescent="0.35">
      <c r="A7" s="154" t="s">
        <v>171</v>
      </c>
      <c r="B7" s="268"/>
      <c r="C7" s="268"/>
      <c r="D7" s="268"/>
      <c r="E7" s="268"/>
      <c r="F7" s="268"/>
      <c r="G7" s="268"/>
      <c r="H7" s="268"/>
    </row>
    <row r="8" spans="1:11" ht="21" x14ac:dyDescent="0.35">
      <c r="A8" s="154" t="s">
        <v>124</v>
      </c>
      <c r="B8" s="268"/>
      <c r="C8" s="268"/>
      <c r="D8" s="268"/>
      <c r="E8" s="268"/>
      <c r="F8" s="268"/>
      <c r="G8" s="268"/>
      <c r="H8" s="268"/>
    </row>
    <row r="9" spans="1:11" ht="21" x14ac:dyDescent="0.35">
      <c r="A9" s="158"/>
      <c r="B9" s="158"/>
      <c r="C9" s="158"/>
      <c r="D9" s="158"/>
      <c r="E9" s="158"/>
      <c r="F9" s="158"/>
      <c r="G9" s="158"/>
      <c r="H9" s="158"/>
    </row>
    <row r="10" spans="1:11" ht="45" x14ac:dyDescent="0.25">
      <c r="A10" s="269" t="s">
        <v>360</v>
      </c>
      <c r="B10" s="89" t="s">
        <v>359</v>
      </c>
      <c r="C10" s="89" t="s">
        <v>358</v>
      </c>
      <c r="D10" s="89" t="s">
        <v>2</v>
      </c>
      <c r="E10" s="610" t="s">
        <v>357</v>
      </c>
      <c r="F10" s="610"/>
      <c r="G10" s="89"/>
      <c r="H10" s="89" t="s">
        <v>3</v>
      </c>
      <c r="I10" s="325"/>
      <c r="J10" s="325"/>
      <c r="K10" s="325"/>
    </row>
    <row r="11" spans="1:11" ht="45" x14ac:dyDescent="0.25">
      <c r="A11" s="90"/>
      <c r="B11" s="90"/>
      <c r="C11" s="90"/>
      <c r="D11" s="90" t="s">
        <v>4</v>
      </c>
      <c r="E11" s="269" t="s">
        <v>356</v>
      </c>
      <c r="F11" s="269" t="s">
        <v>119</v>
      </c>
      <c r="G11" s="270" t="s">
        <v>62</v>
      </c>
      <c r="H11" s="90" t="s">
        <v>6</v>
      </c>
      <c r="I11" s="325"/>
      <c r="J11" s="325"/>
      <c r="K11" s="325"/>
    </row>
    <row r="12" spans="1:11" x14ac:dyDescent="0.25">
      <c r="A12" s="90"/>
      <c r="B12" s="90"/>
      <c r="C12" s="90"/>
      <c r="D12" s="90"/>
      <c r="E12" s="90" t="s">
        <v>4</v>
      </c>
      <c r="F12" s="90" t="s">
        <v>7</v>
      </c>
      <c r="G12" s="90"/>
      <c r="H12" s="90"/>
      <c r="I12" s="325"/>
      <c r="J12" s="325"/>
      <c r="K12" s="325"/>
    </row>
    <row r="13" spans="1:11" x14ac:dyDescent="0.25">
      <c r="A13" s="90"/>
      <c r="B13" s="90"/>
      <c r="C13" s="90"/>
      <c r="D13" s="90">
        <v>2016</v>
      </c>
      <c r="E13" s="90">
        <v>2017</v>
      </c>
      <c r="F13" s="90">
        <v>2017</v>
      </c>
      <c r="G13" s="90"/>
      <c r="H13" s="90">
        <v>2018</v>
      </c>
      <c r="I13" s="325"/>
      <c r="J13" s="325"/>
      <c r="K13" s="325"/>
    </row>
    <row r="14" spans="1:11" x14ac:dyDescent="0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5"/>
      <c r="J14" s="325"/>
      <c r="K14" s="325"/>
    </row>
    <row r="15" spans="1:11" x14ac:dyDescent="0.25">
      <c r="A15" s="327" t="s">
        <v>368</v>
      </c>
      <c r="B15" s="328"/>
      <c r="C15" s="329" t="s">
        <v>355</v>
      </c>
      <c r="D15" s="330"/>
      <c r="E15" s="330"/>
      <c r="F15" s="330"/>
      <c r="G15" s="330"/>
      <c r="H15" s="330"/>
      <c r="I15" s="325"/>
      <c r="J15" s="325"/>
      <c r="K15" s="325"/>
    </row>
    <row r="16" spans="1:11" ht="30" x14ac:dyDescent="0.25">
      <c r="A16" s="331"/>
      <c r="B16" s="331" t="s">
        <v>428</v>
      </c>
      <c r="C16" s="333" t="s">
        <v>427</v>
      </c>
      <c r="D16" s="334"/>
      <c r="E16" s="335"/>
      <c r="F16" s="335"/>
      <c r="G16" s="335"/>
      <c r="H16" s="336"/>
      <c r="I16" s="325"/>
      <c r="J16" s="325"/>
      <c r="K16" s="325"/>
    </row>
    <row r="17" spans="1:11" x14ac:dyDescent="0.25">
      <c r="A17" s="331"/>
      <c r="B17" s="331"/>
      <c r="C17" s="333" t="s">
        <v>426</v>
      </c>
      <c r="D17" s="334"/>
      <c r="E17" s="335"/>
      <c r="F17" s="335"/>
      <c r="G17" s="335"/>
      <c r="H17" s="336">
        <v>68000</v>
      </c>
      <c r="I17" s="325"/>
      <c r="J17" s="325"/>
      <c r="K17" s="325"/>
    </row>
    <row r="18" spans="1:11" x14ac:dyDescent="0.25">
      <c r="A18" s="331"/>
      <c r="B18" s="331"/>
      <c r="C18" s="333" t="s">
        <v>409</v>
      </c>
      <c r="D18" s="334"/>
      <c r="E18" s="335"/>
      <c r="F18" s="335"/>
      <c r="G18" s="335"/>
      <c r="H18" s="336">
        <v>7200</v>
      </c>
      <c r="I18" s="325"/>
      <c r="J18" s="325"/>
      <c r="K18" s="325"/>
    </row>
    <row r="19" spans="1:11" x14ac:dyDescent="0.25">
      <c r="A19" s="331"/>
      <c r="B19" s="331"/>
      <c r="C19" s="333" t="s">
        <v>17</v>
      </c>
      <c r="D19" s="334"/>
      <c r="E19" s="335"/>
      <c r="F19" s="335"/>
      <c r="G19" s="335"/>
      <c r="H19" s="336">
        <v>4800</v>
      </c>
      <c r="I19" s="325"/>
      <c r="J19" s="325"/>
      <c r="K19" s="325"/>
    </row>
    <row r="20" spans="1:11" x14ac:dyDescent="0.25">
      <c r="A20" s="331"/>
      <c r="B20" s="331"/>
      <c r="C20" s="333" t="s">
        <v>425</v>
      </c>
      <c r="D20" s="334"/>
      <c r="E20" s="335"/>
      <c r="F20" s="335"/>
      <c r="G20" s="335"/>
      <c r="H20" s="372">
        <v>92800</v>
      </c>
      <c r="I20" s="325"/>
      <c r="J20" s="325"/>
      <c r="K20" s="325"/>
    </row>
    <row r="21" spans="1:11" x14ac:dyDescent="0.25">
      <c r="A21" s="331"/>
      <c r="B21" s="331"/>
      <c r="C21" s="333"/>
      <c r="D21" s="334"/>
      <c r="E21" s="335"/>
      <c r="F21" s="335"/>
      <c r="G21" s="353"/>
      <c r="H21" s="71">
        <f>SUM(H17:H20)</f>
        <v>172800</v>
      </c>
      <c r="I21" s="325"/>
      <c r="J21" s="325"/>
      <c r="K21" s="325"/>
    </row>
    <row r="22" spans="1:11" x14ac:dyDescent="0.25">
      <c r="A22" s="331"/>
      <c r="B22" s="331"/>
      <c r="C22" s="333" t="s">
        <v>424</v>
      </c>
      <c r="D22" s="334"/>
      <c r="E22" s="335"/>
      <c r="F22" s="335"/>
      <c r="G22" s="353"/>
      <c r="H22" s="371"/>
      <c r="I22" s="325"/>
      <c r="J22" s="325"/>
      <c r="K22" s="325"/>
    </row>
    <row r="23" spans="1:11" x14ac:dyDescent="0.25">
      <c r="A23" s="331"/>
      <c r="B23" s="331"/>
      <c r="C23" s="333" t="s">
        <v>421</v>
      </c>
      <c r="D23" s="613">
        <v>112281</v>
      </c>
      <c r="E23" s="613">
        <v>105186</v>
      </c>
      <c r="F23" s="613">
        <f>G23-E23</f>
        <v>41029.010000000009</v>
      </c>
      <c r="G23" s="616">
        <v>146215.01</v>
      </c>
      <c r="H23" s="336">
        <v>52000</v>
      </c>
      <c r="I23" s="325"/>
      <c r="J23" s="325"/>
      <c r="K23" s="325"/>
    </row>
    <row r="24" spans="1:11" x14ac:dyDescent="0.25">
      <c r="A24" s="331"/>
      <c r="B24" s="331"/>
      <c r="C24" s="333" t="s">
        <v>423</v>
      </c>
      <c r="D24" s="614"/>
      <c r="E24" s="614"/>
      <c r="F24" s="614"/>
      <c r="G24" s="617"/>
      <c r="H24" s="336">
        <v>80000</v>
      </c>
      <c r="I24" s="325"/>
      <c r="J24" s="325"/>
      <c r="K24" s="325"/>
    </row>
    <row r="25" spans="1:11" x14ac:dyDescent="0.25">
      <c r="A25" s="331"/>
      <c r="B25" s="331"/>
      <c r="C25" s="333" t="s">
        <v>419</v>
      </c>
      <c r="D25" s="615"/>
      <c r="E25" s="615"/>
      <c r="F25" s="615"/>
      <c r="G25" s="618"/>
      <c r="H25" s="336">
        <v>80000</v>
      </c>
      <c r="I25" s="325"/>
      <c r="J25" s="325"/>
      <c r="K25" s="325"/>
    </row>
    <row r="26" spans="1:11" x14ac:dyDescent="0.25">
      <c r="A26" s="331"/>
      <c r="B26" s="331"/>
      <c r="C26" s="333"/>
      <c r="D26" s="334"/>
      <c r="E26" s="335"/>
      <c r="F26" s="335"/>
      <c r="G26" s="335"/>
      <c r="H26" s="71">
        <f>SUM(H23:H25)</f>
        <v>212000</v>
      </c>
      <c r="I26" s="325"/>
      <c r="J26" s="325"/>
      <c r="K26" s="325"/>
    </row>
    <row r="27" spans="1:11" x14ac:dyDescent="0.25">
      <c r="A27" s="331"/>
      <c r="B27" s="331"/>
      <c r="C27" s="333" t="s">
        <v>422</v>
      </c>
      <c r="D27" s="334"/>
      <c r="E27" s="335"/>
      <c r="F27" s="335"/>
      <c r="G27" s="335"/>
      <c r="H27" s="370"/>
      <c r="I27" s="325"/>
      <c r="J27" s="325"/>
      <c r="K27" s="325"/>
    </row>
    <row r="28" spans="1:11" x14ac:dyDescent="0.25">
      <c r="A28" s="331"/>
      <c r="B28" s="331"/>
      <c r="C28" s="333" t="s">
        <v>421</v>
      </c>
      <c r="D28" s="334"/>
      <c r="E28" s="335"/>
      <c r="F28" s="335"/>
      <c r="G28" s="353"/>
      <c r="H28" s="365">
        <v>36000</v>
      </c>
      <c r="I28" s="325"/>
      <c r="J28" s="325"/>
      <c r="K28" s="325"/>
    </row>
    <row r="29" spans="1:11" x14ac:dyDescent="0.25">
      <c r="A29" s="331"/>
      <c r="B29" s="331"/>
      <c r="C29" s="333" t="s">
        <v>420</v>
      </c>
      <c r="D29" s="334"/>
      <c r="E29" s="335"/>
      <c r="F29" s="335"/>
      <c r="G29" s="335"/>
      <c r="H29" s="336">
        <v>7000</v>
      </c>
      <c r="I29" s="325"/>
      <c r="J29" s="325"/>
      <c r="K29" s="325"/>
    </row>
    <row r="30" spans="1:11" x14ac:dyDescent="0.25">
      <c r="A30" s="331"/>
      <c r="B30" s="331"/>
      <c r="C30" s="333" t="s">
        <v>419</v>
      </c>
      <c r="D30" s="334"/>
      <c r="E30" s="335"/>
      <c r="F30" s="335"/>
      <c r="G30" s="335"/>
      <c r="H30" s="336">
        <v>7000</v>
      </c>
      <c r="I30" s="325"/>
      <c r="J30" s="325"/>
      <c r="K30" s="325"/>
    </row>
    <row r="31" spans="1:11" x14ac:dyDescent="0.25">
      <c r="A31" s="331"/>
      <c r="B31" s="331"/>
      <c r="C31" s="333" t="s">
        <v>418</v>
      </c>
      <c r="D31" s="334"/>
      <c r="E31" s="334"/>
      <c r="F31" s="334"/>
      <c r="G31" s="334"/>
      <c r="H31" s="369">
        <v>0</v>
      </c>
      <c r="I31" s="325"/>
      <c r="J31" s="325"/>
      <c r="K31" s="325"/>
    </row>
    <row r="32" spans="1:11" x14ac:dyDescent="0.25">
      <c r="A32" s="331"/>
      <c r="B32" s="331"/>
      <c r="C32" s="333"/>
      <c r="D32" s="334"/>
      <c r="E32" s="334"/>
      <c r="F32" s="334"/>
      <c r="G32" s="334"/>
      <c r="H32" s="349">
        <f>SUM(H28:H31)</f>
        <v>50000</v>
      </c>
      <c r="I32" s="325"/>
      <c r="J32" s="325"/>
      <c r="K32" s="325"/>
    </row>
    <row r="33" spans="1:11" x14ac:dyDescent="0.25">
      <c r="A33" s="331"/>
      <c r="B33" s="331"/>
      <c r="C33" s="333" t="s">
        <v>417</v>
      </c>
      <c r="D33" s="334"/>
      <c r="E33" s="334"/>
      <c r="F33" s="334"/>
      <c r="G33" s="334"/>
      <c r="H33" s="368"/>
      <c r="I33" s="325"/>
      <c r="J33" s="325"/>
      <c r="K33" s="325"/>
    </row>
    <row r="34" spans="1:11" x14ac:dyDescent="0.25">
      <c r="A34" s="331"/>
      <c r="B34" s="331"/>
      <c r="C34" s="333" t="s">
        <v>416</v>
      </c>
      <c r="D34" s="334"/>
      <c r="E34" s="334"/>
      <c r="F34" s="334"/>
      <c r="G34" s="355"/>
      <c r="H34" s="365">
        <v>476000</v>
      </c>
      <c r="I34" s="325"/>
      <c r="J34" s="325"/>
      <c r="K34" s="325"/>
    </row>
    <row r="35" spans="1:11" x14ac:dyDescent="0.25">
      <c r="A35" s="331"/>
      <c r="B35" s="331"/>
      <c r="C35" s="333" t="s">
        <v>415</v>
      </c>
      <c r="D35" s="334"/>
      <c r="E35" s="334"/>
      <c r="F35" s="334"/>
      <c r="G35" s="334"/>
      <c r="H35" s="336">
        <v>350000</v>
      </c>
      <c r="I35" s="325"/>
      <c r="J35" s="325"/>
      <c r="K35" s="325"/>
    </row>
    <row r="36" spans="1:11" x14ac:dyDescent="0.25">
      <c r="A36" s="331"/>
      <c r="B36" s="331"/>
      <c r="C36" s="333" t="s">
        <v>414</v>
      </c>
      <c r="D36" s="334"/>
      <c r="E36" s="334"/>
      <c r="F36" s="334"/>
      <c r="G36" s="355"/>
      <c r="H36" s="365">
        <v>150000</v>
      </c>
      <c r="I36" s="325"/>
      <c r="J36" s="325"/>
      <c r="K36" s="325"/>
    </row>
    <row r="37" spans="1:11" x14ac:dyDescent="0.25">
      <c r="A37" s="331"/>
      <c r="B37" s="331"/>
      <c r="C37" s="333" t="s">
        <v>408</v>
      </c>
      <c r="D37" s="334"/>
      <c r="E37" s="334"/>
      <c r="F37" s="334"/>
      <c r="G37" s="334"/>
      <c r="H37" s="336">
        <v>12400</v>
      </c>
      <c r="I37" s="325"/>
      <c r="J37" s="325"/>
      <c r="K37" s="325"/>
    </row>
    <row r="38" spans="1:11" x14ac:dyDescent="0.25">
      <c r="A38" s="331"/>
      <c r="B38" s="331"/>
      <c r="C38" s="333" t="s">
        <v>407</v>
      </c>
      <c r="D38" s="334"/>
      <c r="E38" s="334"/>
      <c r="F38" s="334"/>
      <c r="G38" s="355"/>
      <c r="H38" s="365">
        <v>40000</v>
      </c>
      <c r="I38" s="325"/>
      <c r="J38" s="325"/>
      <c r="K38" s="325"/>
    </row>
    <row r="39" spans="1:11" x14ac:dyDescent="0.25">
      <c r="A39" s="331"/>
      <c r="B39" s="331"/>
      <c r="C39" s="333" t="s">
        <v>413</v>
      </c>
      <c r="D39" s="334"/>
      <c r="E39" s="334"/>
      <c r="F39" s="334"/>
      <c r="G39" s="334"/>
      <c r="H39" s="336">
        <v>40000</v>
      </c>
      <c r="I39" s="325"/>
      <c r="J39" s="325"/>
      <c r="K39" s="325"/>
    </row>
    <row r="40" spans="1:11" x14ac:dyDescent="0.25">
      <c r="A40" s="331"/>
      <c r="B40" s="331"/>
      <c r="C40" s="333" t="s">
        <v>406</v>
      </c>
      <c r="D40" s="334"/>
      <c r="E40" s="334"/>
      <c r="F40" s="334"/>
      <c r="G40" s="355"/>
      <c r="H40" s="365">
        <v>14000</v>
      </c>
      <c r="I40" s="325"/>
      <c r="J40" s="325"/>
      <c r="K40" s="325"/>
    </row>
    <row r="41" spans="1:11" x14ac:dyDescent="0.25">
      <c r="A41" s="331"/>
      <c r="B41" s="331"/>
      <c r="C41" s="333" t="s">
        <v>412</v>
      </c>
      <c r="D41" s="334"/>
      <c r="E41" s="334"/>
      <c r="F41" s="334"/>
      <c r="G41" s="334"/>
      <c r="H41" s="336">
        <v>40000</v>
      </c>
      <c r="I41" s="325"/>
      <c r="J41" s="325"/>
      <c r="K41" s="325"/>
    </row>
    <row r="42" spans="1:11" x14ac:dyDescent="0.25">
      <c r="A42" s="331"/>
      <c r="B42" s="331"/>
      <c r="C42" s="333"/>
      <c r="D42" s="334"/>
      <c r="E42" s="334"/>
      <c r="F42" s="334"/>
      <c r="G42" s="93"/>
      <c r="H42" s="349">
        <f>SUM(H34:H41)</f>
        <v>1122400</v>
      </c>
      <c r="I42" s="325"/>
      <c r="J42" s="325"/>
      <c r="K42" s="325"/>
    </row>
    <row r="43" spans="1:11" x14ac:dyDescent="0.25">
      <c r="A43" s="331"/>
      <c r="B43" s="331"/>
      <c r="C43" s="367" t="s">
        <v>411</v>
      </c>
      <c r="D43" s="334"/>
      <c r="E43" s="334"/>
      <c r="F43" s="334"/>
      <c r="G43" s="334"/>
      <c r="H43" s="366">
        <v>500000</v>
      </c>
      <c r="I43" s="325"/>
      <c r="J43" s="325"/>
      <c r="K43" s="325"/>
    </row>
    <row r="44" spans="1:11" x14ac:dyDescent="0.25">
      <c r="A44" s="331"/>
      <c r="B44" s="331"/>
      <c r="C44" s="333" t="s">
        <v>410</v>
      </c>
      <c r="D44" s="334"/>
      <c r="E44" s="334"/>
      <c r="F44" s="334"/>
      <c r="G44" s="355"/>
      <c r="H44" s="365"/>
      <c r="I44" s="325"/>
      <c r="J44" s="325"/>
      <c r="K44" s="325"/>
    </row>
    <row r="45" spans="1:11" x14ac:dyDescent="0.25">
      <c r="A45" s="331"/>
      <c r="B45" s="331"/>
      <c r="C45" s="333" t="s">
        <v>409</v>
      </c>
      <c r="D45" s="334"/>
      <c r="E45" s="334"/>
      <c r="F45" s="334"/>
      <c r="G45" s="334"/>
      <c r="H45" s="336"/>
      <c r="I45" s="325"/>
      <c r="J45" s="325"/>
      <c r="K45" s="325"/>
    </row>
    <row r="46" spans="1:11" x14ac:dyDescent="0.25">
      <c r="A46" s="331"/>
      <c r="B46" s="331"/>
      <c r="C46" s="333" t="s">
        <v>408</v>
      </c>
      <c r="D46" s="334"/>
      <c r="E46" s="334"/>
      <c r="F46" s="334"/>
      <c r="G46" s="355"/>
      <c r="H46" s="365"/>
      <c r="I46" s="325"/>
      <c r="J46" s="325"/>
      <c r="K46" s="325"/>
    </row>
    <row r="47" spans="1:11" x14ac:dyDescent="0.25">
      <c r="A47" s="331"/>
      <c r="B47" s="363"/>
      <c r="C47" s="333" t="s">
        <v>407</v>
      </c>
      <c r="D47" s="334"/>
      <c r="E47" s="334"/>
      <c r="F47" s="334"/>
      <c r="G47" s="355"/>
      <c r="H47" s="355"/>
      <c r="I47" s="325"/>
      <c r="J47" s="325"/>
      <c r="K47" s="325"/>
    </row>
    <row r="48" spans="1:11" x14ac:dyDescent="0.25">
      <c r="A48" s="331"/>
      <c r="B48" s="332"/>
      <c r="C48" s="333" t="s">
        <v>406</v>
      </c>
      <c r="D48" s="334"/>
      <c r="E48" s="334"/>
      <c r="F48" s="334"/>
      <c r="G48" s="334"/>
      <c r="H48" s="360"/>
      <c r="I48" s="325"/>
      <c r="J48" s="325"/>
      <c r="K48" s="325"/>
    </row>
    <row r="49" spans="1:13" ht="30" hidden="1" x14ac:dyDescent="0.25">
      <c r="A49" s="337"/>
      <c r="B49" s="338"/>
      <c r="C49" s="339" t="s">
        <v>371</v>
      </c>
      <c r="D49" s="340"/>
      <c r="E49" s="340"/>
      <c r="F49" s="340"/>
      <c r="G49" s="340"/>
      <c r="H49" s="341"/>
      <c r="I49" s="325"/>
      <c r="J49" s="325"/>
      <c r="K49" s="325"/>
    </row>
    <row r="50" spans="1:13" x14ac:dyDescent="0.25">
      <c r="A50" s="326"/>
      <c r="B50" s="342"/>
      <c r="C50" s="343"/>
      <c r="D50" s="344"/>
      <c r="E50" s="344"/>
      <c r="F50" s="344"/>
      <c r="G50" s="344"/>
      <c r="H50" s="345"/>
      <c r="I50" s="325"/>
      <c r="J50" s="325"/>
      <c r="K50" s="325"/>
    </row>
    <row r="51" spans="1:13" x14ac:dyDescent="0.25">
      <c r="A51" s="326"/>
      <c r="B51" s="342"/>
      <c r="C51" s="348" t="s">
        <v>348</v>
      </c>
      <c r="D51" s="344">
        <f>SUM(D23:D50)</f>
        <v>112281</v>
      </c>
      <c r="E51" s="344">
        <f>SUM(E23:E50)</f>
        <v>105186</v>
      </c>
      <c r="F51" s="344">
        <f>SUM(F23:F50)</f>
        <v>41029.010000000009</v>
      </c>
      <c r="G51" s="344">
        <f>SUM(G23:G50)</f>
        <v>146215.01</v>
      </c>
      <c r="H51" s="345">
        <v>2057200</v>
      </c>
      <c r="I51" s="325"/>
      <c r="J51" s="325"/>
      <c r="K51" s="325"/>
    </row>
    <row r="52" spans="1:13" x14ac:dyDescent="0.25">
      <c r="A52" s="347"/>
      <c r="B52" s="134"/>
      <c r="C52" s="348" t="s">
        <v>405</v>
      </c>
      <c r="D52" s="349"/>
      <c r="E52" s="349"/>
      <c r="F52" s="349"/>
      <c r="G52" s="349"/>
      <c r="H52" s="364">
        <f>H41+H31</f>
        <v>40000</v>
      </c>
      <c r="I52" s="325"/>
      <c r="J52" s="325"/>
      <c r="K52" s="325"/>
    </row>
    <row r="53" spans="1:13" x14ac:dyDescent="0.25">
      <c r="A53" s="36"/>
      <c r="B53" s="36"/>
      <c r="C53" s="36" t="s">
        <v>320</v>
      </c>
      <c r="D53" s="69">
        <f>D51+D52</f>
        <v>112281</v>
      </c>
      <c r="E53" s="69">
        <f>E51+E52</f>
        <v>105186</v>
      </c>
      <c r="F53" s="69">
        <f>F51+F52</f>
        <v>41029.010000000009</v>
      </c>
      <c r="G53" s="69">
        <f>SUM(G51:G52)</f>
        <v>146215.01</v>
      </c>
      <c r="H53" s="69">
        <f>SUM(H51:H52)</f>
        <v>2097200</v>
      </c>
      <c r="I53" s="160"/>
    </row>
    <row r="54" spans="1:13" x14ac:dyDescent="0.25">
      <c r="D54" s="136"/>
      <c r="E54" s="136"/>
      <c r="F54" s="136"/>
      <c r="G54" s="136"/>
      <c r="H54" s="136"/>
      <c r="M54" s="160"/>
    </row>
    <row r="55" spans="1:13" ht="21" x14ac:dyDescent="0.35">
      <c r="A55" s="608" t="s">
        <v>404</v>
      </c>
      <c r="B55" s="608"/>
      <c r="C55" s="608"/>
      <c r="D55" s="608"/>
      <c r="E55" s="608"/>
      <c r="F55" s="608"/>
      <c r="G55" s="608"/>
      <c r="H55" s="608"/>
      <c r="I55" s="158"/>
      <c r="K55" s="160"/>
    </row>
    <row r="56" spans="1:13" ht="21" x14ac:dyDescent="0.35">
      <c r="A56" s="158"/>
      <c r="B56" s="158"/>
      <c r="C56" s="361"/>
      <c r="E56" s="361"/>
      <c r="H56" s="361"/>
      <c r="I56" s="158"/>
    </row>
    <row r="57" spans="1:13" ht="21" x14ac:dyDescent="0.35">
      <c r="A57" s="158"/>
      <c r="B57" s="158"/>
      <c r="C57" s="361"/>
      <c r="E57" s="361"/>
      <c r="H57" s="361"/>
      <c r="I57" s="158"/>
    </row>
    <row r="58" spans="1:13" ht="21" x14ac:dyDescent="0.35">
      <c r="A58" s="607" t="s">
        <v>403</v>
      </c>
      <c r="B58" s="607"/>
      <c r="C58" s="607"/>
      <c r="D58" s="607"/>
      <c r="E58" s="607"/>
      <c r="F58" s="607"/>
      <c r="G58" s="607"/>
      <c r="H58" s="607"/>
      <c r="I58" s="158"/>
    </row>
    <row r="59" spans="1:13" ht="21" x14ac:dyDescent="0.35">
      <c r="A59" s="608" t="s">
        <v>402</v>
      </c>
      <c r="B59" s="608"/>
      <c r="C59" s="608"/>
      <c r="D59" s="608"/>
      <c r="E59" s="608"/>
      <c r="F59" s="608"/>
      <c r="G59" s="608"/>
      <c r="H59" s="608"/>
      <c r="I59" s="158"/>
    </row>
    <row r="60" spans="1:13" ht="21" x14ac:dyDescent="0.35">
      <c r="A60" s="158"/>
      <c r="B60" s="158"/>
      <c r="C60" s="158"/>
      <c r="D60" s="158"/>
      <c r="E60" s="158"/>
      <c r="F60" s="158"/>
      <c r="G60" s="158"/>
      <c r="H60" s="158"/>
      <c r="I60" s="158"/>
    </row>
    <row r="61" spans="1:13" ht="21" x14ac:dyDescent="0.35">
      <c r="A61" s="158"/>
      <c r="B61" s="158"/>
      <c r="C61" s="158"/>
      <c r="D61" s="158"/>
      <c r="E61" s="158"/>
      <c r="F61" s="158"/>
      <c r="G61" s="158"/>
      <c r="H61" s="158"/>
      <c r="I61" s="158"/>
    </row>
    <row r="62" spans="1:13" ht="21" x14ac:dyDescent="0.35">
      <c r="A62" s="158"/>
      <c r="B62" s="158"/>
      <c r="C62" s="158"/>
      <c r="D62" s="158"/>
      <c r="E62" s="158"/>
      <c r="F62" s="158"/>
      <c r="G62" s="158"/>
      <c r="H62" s="158"/>
      <c r="I62" s="158"/>
    </row>
    <row r="63" spans="1:13" ht="21" x14ac:dyDescent="0.35">
      <c r="A63" s="158"/>
      <c r="B63" s="158"/>
      <c r="C63" s="158"/>
      <c r="D63" s="158"/>
      <c r="E63" s="158"/>
      <c r="F63" s="158"/>
      <c r="G63" s="158"/>
      <c r="H63" s="158"/>
      <c r="I63" s="158"/>
    </row>
  </sheetData>
  <sheetProtection password="CCFC" sheet="1" objects="1" scenarios="1" selectLockedCells="1" selectUnlockedCells="1"/>
  <mergeCells count="10">
    <mergeCell ref="A55:H55"/>
    <mergeCell ref="A58:H58"/>
    <mergeCell ref="A59:H59"/>
    <mergeCell ref="A3:H3"/>
    <mergeCell ref="A4:H4"/>
    <mergeCell ref="E10:F10"/>
    <mergeCell ref="D23:D25"/>
    <mergeCell ref="E23:E25"/>
    <mergeCell ref="F23:F25"/>
    <mergeCell ref="G23:G2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2" workbookViewId="0">
      <selection activeCell="C37" sqref="C37"/>
    </sheetView>
  </sheetViews>
  <sheetFormatPr defaultRowHeight="15" x14ac:dyDescent="0.25"/>
  <cols>
    <col min="1" max="1" width="10.85546875" style="137" customWidth="1"/>
    <col min="2" max="2" width="9.7109375" style="137" customWidth="1"/>
    <col min="3" max="3" width="37.42578125" style="137" customWidth="1"/>
    <col min="4" max="4" width="12.28515625" style="137" customWidth="1"/>
    <col min="5" max="5" width="13.28515625" style="137" bestFit="1" customWidth="1"/>
    <col min="6" max="6" width="13.42578125" style="137" customWidth="1"/>
    <col min="7" max="7" width="14.7109375" style="137" customWidth="1"/>
    <col min="8" max="8" width="14.28515625" style="137" customWidth="1"/>
    <col min="9" max="9" width="13.85546875" style="137" bestFit="1" customWidth="1"/>
    <col min="10" max="10" width="13.28515625" style="137" bestFit="1" customWidth="1"/>
    <col min="11" max="11" width="14.28515625" style="137" bestFit="1" customWidth="1"/>
    <col min="12" max="12" width="9.140625" style="137"/>
    <col min="13" max="13" width="14.28515625" style="137" bestFit="1" customWidth="1"/>
    <col min="14" max="16384" width="9.140625" style="137"/>
  </cols>
  <sheetData>
    <row r="1" spans="1:11" x14ac:dyDescent="0.25">
      <c r="A1" s="137" t="s">
        <v>366</v>
      </c>
      <c r="H1" s="137" t="s">
        <v>365</v>
      </c>
    </row>
    <row r="3" spans="1:11" ht="21" x14ac:dyDescent="0.35">
      <c r="A3" s="586" t="s">
        <v>364</v>
      </c>
      <c r="B3" s="586"/>
      <c r="C3" s="586"/>
      <c r="D3" s="586"/>
      <c r="E3" s="586"/>
      <c r="F3" s="586"/>
      <c r="G3" s="586"/>
      <c r="H3" s="586"/>
      <c r="I3" s="323"/>
      <c r="J3" s="323"/>
      <c r="K3" s="323"/>
    </row>
    <row r="4" spans="1:11" ht="21" x14ac:dyDescent="0.35">
      <c r="A4" s="586" t="s">
        <v>401</v>
      </c>
      <c r="B4" s="586"/>
      <c r="C4" s="586"/>
      <c r="D4" s="586"/>
      <c r="E4" s="586"/>
      <c r="F4" s="586"/>
      <c r="G4" s="586"/>
      <c r="H4" s="586"/>
    </row>
    <row r="5" spans="1:11" ht="21" x14ac:dyDescent="0.35">
      <c r="A5" s="268"/>
      <c r="B5" s="268"/>
      <c r="C5" s="268"/>
      <c r="D5" s="268"/>
      <c r="E5" s="268"/>
      <c r="F5" s="268"/>
      <c r="G5" s="268"/>
      <c r="H5" s="268"/>
    </row>
    <row r="6" spans="1:11" ht="21" x14ac:dyDescent="0.35">
      <c r="A6" s="155" t="s">
        <v>92</v>
      </c>
      <c r="B6" s="268"/>
      <c r="C6" s="268"/>
      <c r="D6" s="268"/>
      <c r="E6" s="268"/>
      <c r="F6" s="268"/>
      <c r="G6" s="268"/>
      <c r="H6" s="268"/>
    </row>
    <row r="7" spans="1:11" ht="21" x14ac:dyDescent="0.35">
      <c r="A7" s="154" t="s">
        <v>171</v>
      </c>
      <c r="B7" s="268"/>
      <c r="C7" s="268"/>
      <c r="D7" s="268"/>
      <c r="E7" s="268"/>
      <c r="F7" s="268"/>
      <c r="G7" s="268"/>
      <c r="H7" s="268"/>
    </row>
    <row r="8" spans="1:11" ht="21" x14ac:dyDescent="0.35">
      <c r="A8" s="154" t="s">
        <v>124</v>
      </c>
      <c r="B8" s="268"/>
      <c r="C8" s="268"/>
      <c r="D8" s="268"/>
      <c r="E8" s="268"/>
      <c r="F8" s="268"/>
      <c r="G8" s="268"/>
      <c r="H8" s="268"/>
    </row>
    <row r="9" spans="1:11" ht="21" x14ac:dyDescent="0.35">
      <c r="A9" s="158"/>
      <c r="B9" s="158"/>
      <c r="C9" s="158"/>
      <c r="D9" s="158"/>
      <c r="E9" s="158"/>
      <c r="F9" s="158"/>
      <c r="G9" s="158"/>
      <c r="H9" s="158"/>
    </row>
    <row r="10" spans="1:11" ht="45" x14ac:dyDescent="0.25">
      <c r="A10" s="269" t="s">
        <v>360</v>
      </c>
      <c r="B10" s="89" t="s">
        <v>359</v>
      </c>
      <c r="C10" s="89" t="s">
        <v>358</v>
      </c>
      <c r="D10" s="89" t="s">
        <v>2</v>
      </c>
      <c r="E10" s="610" t="s">
        <v>357</v>
      </c>
      <c r="F10" s="610"/>
      <c r="G10" s="89"/>
      <c r="H10" s="89" t="s">
        <v>3</v>
      </c>
      <c r="I10" s="325"/>
      <c r="J10" s="325"/>
      <c r="K10" s="325"/>
    </row>
    <row r="11" spans="1:11" ht="45" x14ac:dyDescent="0.25">
      <c r="A11" s="90"/>
      <c r="B11" s="90"/>
      <c r="C11" s="90"/>
      <c r="D11" s="90" t="s">
        <v>4</v>
      </c>
      <c r="E11" s="269" t="s">
        <v>356</v>
      </c>
      <c r="F11" s="269" t="s">
        <v>119</v>
      </c>
      <c r="G11" s="270" t="s">
        <v>62</v>
      </c>
      <c r="H11" s="90" t="s">
        <v>6</v>
      </c>
      <c r="I11" s="325"/>
      <c r="J11" s="325"/>
      <c r="K11" s="325"/>
    </row>
    <row r="12" spans="1:11" x14ac:dyDescent="0.25">
      <c r="A12" s="90"/>
      <c r="B12" s="90"/>
      <c r="C12" s="90"/>
      <c r="D12" s="90"/>
      <c r="E12" s="90" t="s">
        <v>4</v>
      </c>
      <c r="F12" s="90" t="s">
        <v>7</v>
      </c>
      <c r="G12" s="90"/>
      <c r="H12" s="90"/>
      <c r="I12" s="325"/>
      <c r="J12" s="325"/>
      <c r="K12" s="325"/>
    </row>
    <row r="13" spans="1:11" x14ac:dyDescent="0.25">
      <c r="A13" s="90"/>
      <c r="B13" s="90"/>
      <c r="C13" s="90"/>
      <c r="D13" s="90">
        <v>2016</v>
      </c>
      <c r="E13" s="90">
        <v>2017</v>
      </c>
      <c r="F13" s="90">
        <v>2017</v>
      </c>
      <c r="G13" s="90"/>
      <c r="H13" s="90">
        <v>2018</v>
      </c>
      <c r="I13" s="325"/>
      <c r="J13" s="325"/>
      <c r="K13" s="325"/>
    </row>
    <row r="14" spans="1:11" x14ac:dyDescent="0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5"/>
      <c r="J14" s="325"/>
      <c r="K14" s="325"/>
    </row>
    <row r="15" spans="1:11" x14ac:dyDescent="0.25">
      <c r="A15" s="327" t="s">
        <v>368</v>
      </c>
      <c r="B15" s="328"/>
      <c r="C15" s="329" t="s">
        <v>441</v>
      </c>
      <c r="D15" s="330"/>
      <c r="E15" s="330"/>
      <c r="F15" s="330"/>
      <c r="G15" s="330"/>
      <c r="H15" s="330"/>
      <c r="I15" s="325"/>
      <c r="J15" s="325"/>
      <c r="K15" s="325"/>
    </row>
    <row r="16" spans="1:11" x14ac:dyDescent="0.25">
      <c r="A16" s="331"/>
      <c r="B16" s="331"/>
      <c r="C16" s="333" t="s">
        <v>440</v>
      </c>
      <c r="D16" s="334"/>
      <c r="E16" s="335"/>
      <c r="F16" s="335"/>
      <c r="G16" s="335"/>
      <c r="H16" s="336"/>
      <c r="I16" s="325"/>
      <c r="J16" s="325"/>
      <c r="K16" s="325"/>
    </row>
    <row r="17" spans="1:13" x14ac:dyDescent="0.25">
      <c r="A17" s="331"/>
      <c r="B17" s="331"/>
      <c r="C17" s="333" t="s">
        <v>439</v>
      </c>
      <c r="D17" s="334"/>
      <c r="E17" s="335"/>
      <c r="F17" s="334"/>
      <c r="G17" s="334">
        <v>200000</v>
      </c>
      <c r="H17" s="336">
        <v>0</v>
      </c>
      <c r="I17" s="325"/>
      <c r="J17" s="325"/>
      <c r="K17" s="325"/>
    </row>
    <row r="18" spans="1:13" x14ac:dyDescent="0.25">
      <c r="A18" s="331"/>
      <c r="B18" s="331"/>
      <c r="C18" s="333" t="s">
        <v>438</v>
      </c>
      <c r="D18" s="334"/>
      <c r="E18" s="335"/>
      <c r="F18" s="334"/>
      <c r="G18" s="334">
        <v>500000</v>
      </c>
      <c r="H18" s="336">
        <v>0</v>
      </c>
      <c r="I18" s="325"/>
      <c r="J18" s="325"/>
      <c r="K18" s="325"/>
    </row>
    <row r="19" spans="1:13" x14ac:dyDescent="0.25">
      <c r="A19" s="331"/>
      <c r="B19" s="331"/>
      <c r="C19" s="333" t="s">
        <v>437</v>
      </c>
      <c r="D19" s="334"/>
      <c r="E19" s="335"/>
      <c r="F19" s="334"/>
      <c r="G19" s="334">
        <v>200000</v>
      </c>
      <c r="H19" s="336">
        <v>0</v>
      </c>
      <c r="I19" s="325"/>
      <c r="J19" s="325"/>
      <c r="K19" s="325"/>
    </row>
    <row r="20" spans="1:13" x14ac:dyDescent="0.25">
      <c r="A20" s="331"/>
      <c r="B20" s="331"/>
      <c r="C20" s="333" t="s">
        <v>436</v>
      </c>
      <c r="D20" s="334"/>
      <c r="E20" s="335"/>
      <c r="F20" s="334"/>
      <c r="G20" s="334">
        <v>217000</v>
      </c>
      <c r="H20" s="336">
        <v>0</v>
      </c>
      <c r="I20" s="325"/>
      <c r="J20" s="325"/>
      <c r="K20" s="325"/>
    </row>
    <row r="21" spans="1:13" x14ac:dyDescent="0.25">
      <c r="A21" s="331"/>
      <c r="B21" s="331"/>
      <c r="C21" s="333" t="s">
        <v>435</v>
      </c>
      <c r="D21" s="334"/>
      <c r="E21" s="335"/>
      <c r="F21" s="334"/>
      <c r="G21" s="369">
        <v>150000</v>
      </c>
      <c r="H21" s="372">
        <v>0</v>
      </c>
      <c r="I21" s="325"/>
      <c r="J21" s="325"/>
      <c r="K21" s="325"/>
    </row>
    <row r="22" spans="1:13" x14ac:dyDescent="0.25">
      <c r="A22" s="331"/>
      <c r="B22" s="331"/>
      <c r="C22" s="333" t="s">
        <v>434</v>
      </c>
      <c r="D22" s="334"/>
      <c r="E22" s="335"/>
      <c r="F22" s="334"/>
      <c r="G22" s="369">
        <v>200000</v>
      </c>
      <c r="H22" s="372">
        <v>0</v>
      </c>
      <c r="I22" s="325"/>
      <c r="J22" s="325"/>
      <c r="K22" s="325"/>
    </row>
    <row r="23" spans="1:13" x14ac:dyDescent="0.25">
      <c r="A23" s="331"/>
      <c r="B23" s="331"/>
      <c r="C23" s="333" t="s">
        <v>433</v>
      </c>
      <c r="D23" s="334"/>
      <c r="E23" s="335"/>
      <c r="F23" s="334"/>
      <c r="G23" s="334">
        <v>200000</v>
      </c>
      <c r="H23" s="336">
        <v>0</v>
      </c>
      <c r="I23" s="325"/>
      <c r="J23" s="325"/>
      <c r="K23" s="325"/>
    </row>
    <row r="24" spans="1:13" x14ac:dyDescent="0.25">
      <c r="A24" s="331"/>
      <c r="B24" s="331"/>
      <c r="C24" s="333" t="s">
        <v>432</v>
      </c>
      <c r="D24" s="334"/>
      <c r="E24" s="335"/>
      <c r="F24" s="334"/>
      <c r="G24" s="334">
        <v>200000</v>
      </c>
      <c r="H24" s="336">
        <v>0</v>
      </c>
      <c r="I24" s="325"/>
      <c r="J24" s="325"/>
      <c r="K24" s="325"/>
    </row>
    <row r="25" spans="1:13" x14ac:dyDescent="0.25">
      <c r="A25" s="331"/>
      <c r="B25" s="331"/>
      <c r="C25" s="333"/>
      <c r="D25" s="334"/>
      <c r="E25" s="335"/>
      <c r="F25" s="334"/>
      <c r="G25" s="334"/>
      <c r="H25" s="336"/>
      <c r="I25" s="325"/>
      <c r="J25" s="325"/>
      <c r="K25" s="325"/>
    </row>
    <row r="26" spans="1:13" hidden="1" x14ac:dyDescent="0.25">
      <c r="A26" s="337"/>
      <c r="B26" s="338"/>
      <c r="C26" s="339"/>
      <c r="D26" s="340"/>
      <c r="E26" s="340"/>
      <c r="F26" s="340"/>
      <c r="G26" s="340"/>
      <c r="H26" s="341"/>
      <c r="I26" s="325"/>
      <c r="J26" s="325"/>
      <c r="K26" s="325"/>
    </row>
    <row r="27" spans="1:13" x14ac:dyDescent="0.25">
      <c r="A27" s="326"/>
      <c r="B27" s="342"/>
      <c r="C27" s="343"/>
      <c r="D27" s="344"/>
      <c r="E27" s="344"/>
      <c r="F27" s="344"/>
      <c r="G27" s="344"/>
      <c r="H27" s="345"/>
      <c r="I27" s="325"/>
      <c r="J27" s="325"/>
      <c r="K27" s="325"/>
    </row>
    <row r="28" spans="1:13" x14ac:dyDescent="0.25">
      <c r="A28" s="347"/>
      <c r="B28" s="134"/>
      <c r="C28" s="348" t="s">
        <v>405</v>
      </c>
      <c r="D28" s="349">
        <f>SUM(D16:D26)</f>
        <v>0</v>
      </c>
      <c r="E28" s="349">
        <f>SUM(E16:E26)</f>
        <v>0</v>
      </c>
      <c r="F28" s="349"/>
      <c r="G28" s="349">
        <f>SUM(G17:G27)</f>
        <v>1867000</v>
      </c>
      <c r="H28" s="364"/>
      <c r="I28" s="325"/>
      <c r="J28" s="325"/>
      <c r="K28" s="325"/>
    </row>
    <row r="29" spans="1:13" x14ac:dyDescent="0.25">
      <c r="A29" s="36"/>
      <c r="B29" s="36"/>
      <c r="C29" s="36" t="s">
        <v>320</v>
      </c>
      <c r="D29" s="69">
        <v>0</v>
      </c>
      <c r="E29" s="69">
        <v>0</v>
      </c>
      <c r="F29" s="69">
        <v>0</v>
      </c>
      <c r="G29" s="69">
        <f>SUM(G28)</f>
        <v>1867000</v>
      </c>
      <c r="H29" s="69"/>
      <c r="J29" s="160"/>
    </row>
    <row r="30" spans="1:13" x14ac:dyDescent="0.25">
      <c r="D30" s="136"/>
      <c r="E30" s="136"/>
      <c r="F30" s="136"/>
      <c r="G30" s="136"/>
      <c r="H30" s="136"/>
      <c r="J30" s="160"/>
      <c r="M30" s="160"/>
    </row>
    <row r="31" spans="1:13" ht="21" x14ac:dyDescent="0.35">
      <c r="A31" s="608" t="s">
        <v>431</v>
      </c>
      <c r="B31" s="608"/>
      <c r="C31" s="608"/>
      <c r="D31" s="608"/>
      <c r="E31" s="608"/>
      <c r="F31" s="608"/>
      <c r="G31" s="608"/>
      <c r="H31" s="608"/>
      <c r="I31" s="158"/>
      <c r="K31" s="160"/>
    </row>
    <row r="32" spans="1:13" ht="21" x14ac:dyDescent="0.35">
      <c r="A32" s="158"/>
      <c r="B32" s="158"/>
      <c r="C32" s="361"/>
      <c r="E32" s="361"/>
      <c r="H32" s="361"/>
      <c r="I32" s="158"/>
    </row>
    <row r="33" spans="1:9" ht="21" x14ac:dyDescent="0.35">
      <c r="A33" s="158"/>
      <c r="B33" s="158"/>
      <c r="C33" s="361"/>
      <c r="E33" s="361"/>
      <c r="H33" s="361"/>
      <c r="I33" s="158"/>
    </row>
    <row r="34" spans="1:9" ht="21" x14ac:dyDescent="0.35">
      <c r="A34" s="607" t="s">
        <v>430</v>
      </c>
      <c r="B34" s="607"/>
      <c r="C34" s="607"/>
      <c r="D34" s="607"/>
      <c r="E34" s="607"/>
      <c r="F34" s="607"/>
      <c r="G34" s="607"/>
      <c r="H34" s="607"/>
      <c r="I34" s="158"/>
    </row>
    <row r="35" spans="1:9" ht="21" x14ac:dyDescent="0.35">
      <c r="A35" s="608" t="s">
        <v>429</v>
      </c>
      <c r="B35" s="608"/>
      <c r="C35" s="608"/>
      <c r="D35" s="608"/>
      <c r="E35" s="608"/>
      <c r="F35" s="608"/>
      <c r="G35" s="608"/>
      <c r="H35" s="608"/>
      <c r="I35" s="158"/>
    </row>
    <row r="36" spans="1:9" ht="21" x14ac:dyDescent="0.35">
      <c r="A36" s="158"/>
      <c r="B36" s="158"/>
      <c r="C36" s="158"/>
      <c r="D36" s="158"/>
      <c r="E36" s="158"/>
      <c r="F36" s="158"/>
      <c r="G36" s="158"/>
      <c r="H36" s="158"/>
      <c r="I36" s="158"/>
    </row>
    <row r="37" spans="1:9" ht="21" x14ac:dyDescent="0.35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 ht="21" x14ac:dyDescent="0.35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 ht="21" x14ac:dyDescent="0.35">
      <c r="A39" s="158"/>
      <c r="B39" s="158"/>
      <c r="C39" s="158"/>
      <c r="D39" s="158"/>
      <c r="E39" s="158"/>
      <c r="F39" s="158"/>
      <c r="G39" s="158"/>
      <c r="H39" s="158"/>
      <c r="I39" s="158"/>
    </row>
  </sheetData>
  <sheetProtection password="CCFC" sheet="1" objects="1" scenarios="1" selectLockedCells="1" selectUnlockedCells="1"/>
  <mergeCells count="6">
    <mergeCell ref="A35:H35"/>
    <mergeCell ref="A3:H3"/>
    <mergeCell ref="A4:H4"/>
    <mergeCell ref="E10:F10"/>
    <mergeCell ref="A31:H31"/>
    <mergeCell ref="A34:H3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22" workbookViewId="0">
      <selection activeCell="C43" sqref="C43"/>
    </sheetView>
  </sheetViews>
  <sheetFormatPr defaultRowHeight="15" x14ac:dyDescent="0.25"/>
  <cols>
    <col min="1" max="1" width="12.140625" style="137" customWidth="1"/>
    <col min="2" max="2" width="9.7109375" style="137" customWidth="1"/>
    <col min="3" max="3" width="38.85546875" style="137" customWidth="1"/>
    <col min="4" max="4" width="15.140625" style="137" customWidth="1"/>
    <col min="5" max="5" width="13.28515625" style="137" bestFit="1" customWidth="1"/>
    <col min="6" max="7" width="14.7109375" style="137" customWidth="1"/>
    <col min="8" max="8" width="14.140625" style="137" customWidth="1"/>
    <col min="9" max="9" width="13.85546875" style="137" bestFit="1" customWidth="1"/>
    <col min="10" max="10" width="9.140625" style="137"/>
    <col min="11" max="11" width="14.28515625" style="137" bestFit="1" customWidth="1"/>
    <col min="12" max="12" width="9.140625" style="137"/>
    <col min="13" max="13" width="14.28515625" style="137" bestFit="1" customWidth="1"/>
    <col min="14" max="16384" width="9.140625" style="137"/>
  </cols>
  <sheetData>
    <row r="1" spans="1:11" x14ac:dyDescent="0.25">
      <c r="A1" s="137" t="s">
        <v>366</v>
      </c>
      <c r="H1" s="137" t="s">
        <v>365</v>
      </c>
    </row>
    <row r="3" spans="1:11" ht="21" x14ac:dyDescent="0.35">
      <c r="A3" s="586" t="s">
        <v>364</v>
      </c>
      <c r="B3" s="586"/>
      <c r="C3" s="586"/>
      <c r="D3" s="586"/>
      <c r="E3" s="586"/>
      <c r="F3" s="586"/>
      <c r="G3" s="586"/>
      <c r="H3" s="586"/>
      <c r="I3" s="323"/>
      <c r="J3" s="323"/>
      <c r="K3" s="323"/>
    </row>
    <row r="4" spans="1:11" ht="21" x14ac:dyDescent="0.35">
      <c r="A4" s="602" t="s">
        <v>127</v>
      </c>
      <c r="B4" s="602"/>
      <c r="C4" s="602"/>
      <c r="D4" s="602"/>
      <c r="E4" s="602"/>
      <c r="F4" s="602"/>
      <c r="G4" s="602"/>
      <c r="H4" s="602"/>
    </row>
    <row r="5" spans="1:11" ht="21" x14ac:dyDescent="0.35">
      <c r="A5" s="153"/>
      <c r="B5" s="152"/>
      <c r="C5" s="152"/>
      <c r="D5" s="152"/>
      <c r="E5" s="152"/>
      <c r="F5" s="152"/>
      <c r="G5" s="152"/>
      <c r="H5" s="152"/>
    </row>
    <row r="6" spans="1:11" ht="21" x14ac:dyDescent="0.35">
      <c r="A6" s="153" t="s">
        <v>93</v>
      </c>
      <c r="B6" s="152"/>
      <c r="C6" s="152"/>
      <c r="D6" s="152"/>
      <c r="E6" s="152"/>
      <c r="F6" s="152"/>
      <c r="G6" s="152"/>
      <c r="H6" s="152"/>
    </row>
    <row r="7" spans="1:11" ht="21" x14ac:dyDescent="0.35">
      <c r="A7" s="152" t="s">
        <v>188</v>
      </c>
      <c r="B7" s="152"/>
      <c r="C7" s="152"/>
      <c r="D7" s="152"/>
      <c r="E7" s="152"/>
      <c r="F7" s="152"/>
      <c r="G7" s="152"/>
      <c r="H7" s="152"/>
    </row>
    <row r="8" spans="1:11" ht="21" x14ac:dyDescent="0.35">
      <c r="A8" s="154" t="s">
        <v>124</v>
      </c>
      <c r="B8" s="268"/>
      <c r="C8" s="268"/>
      <c r="D8" s="268"/>
      <c r="E8" s="268"/>
      <c r="F8" s="268"/>
      <c r="G8" s="268"/>
      <c r="H8" s="268"/>
    </row>
    <row r="9" spans="1:11" ht="21" x14ac:dyDescent="0.35">
      <c r="A9" s="158"/>
      <c r="B9" s="158"/>
      <c r="C9" s="158"/>
      <c r="D9" s="158"/>
      <c r="E9" s="158"/>
      <c r="F9" s="158"/>
      <c r="G9" s="158"/>
      <c r="H9" s="158"/>
    </row>
    <row r="10" spans="1:11" ht="45" x14ac:dyDescent="0.25">
      <c r="A10" s="269" t="s">
        <v>360</v>
      </c>
      <c r="B10" s="89" t="s">
        <v>359</v>
      </c>
      <c r="C10" s="89" t="s">
        <v>358</v>
      </c>
      <c r="D10" s="89" t="s">
        <v>2</v>
      </c>
      <c r="E10" s="610" t="s">
        <v>357</v>
      </c>
      <c r="F10" s="610"/>
      <c r="G10" s="89"/>
      <c r="H10" s="89" t="s">
        <v>3</v>
      </c>
      <c r="I10" s="325"/>
      <c r="J10" s="325"/>
      <c r="K10" s="325"/>
    </row>
    <row r="11" spans="1:11" ht="45" x14ac:dyDescent="0.25">
      <c r="A11" s="90"/>
      <c r="B11" s="90"/>
      <c r="C11" s="90"/>
      <c r="D11" s="90" t="s">
        <v>4</v>
      </c>
      <c r="E11" s="269" t="s">
        <v>356</v>
      </c>
      <c r="F11" s="269" t="s">
        <v>119</v>
      </c>
      <c r="G11" s="270" t="s">
        <v>62</v>
      </c>
      <c r="H11" s="90" t="s">
        <v>6</v>
      </c>
      <c r="I11" s="325"/>
      <c r="J11" s="325"/>
      <c r="K11" s="325"/>
    </row>
    <row r="12" spans="1:11" x14ac:dyDescent="0.25">
      <c r="A12" s="90"/>
      <c r="B12" s="90"/>
      <c r="C12" s="90"/>
      <c r="D12" s="90"/>
      <c r="E12" s="90" t="s">
        <v>4</v>
      </c>
      <c r="F12" s="90" t="s">
        <v>7</v>
      </c>
      <c r="G12" s="90"/>
      <c r="H12" s="90"/>
      <c r="I12" s="325"/>
      <c r="J12" s="325"/>
      <c r="K12" s="325"/>
    </row>
    <row r="13" spans="1:11" x14ac:dyDescent="0.25">
      <c r="A13" s="90"/>
      <c r="B13" s="90"/>
      <c r="C13" s="90"/>
      <c r="D13" s="90">
        <v>2016</v>
      </c>
      <c r="E13" s="90">
        <v>2017</v>
      </c>
      <c r="F13" s="90">
        <v>2017</v>
      </c>
      <c r="G13" s="90"/>
      <c r="H13" s="90">
        <v>2018</v>
      </c>
      <c r="I13" s="325"/>
      <c r="J13" s="325"/>
      <c r="K13" s="325"/>
    </row>
    <row r="14" spans="1:11" x14ac:dyDescent="0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5"/>
      <c r="J14" s="325"/>
      <c r="K14" s="325"/>
    </row>
    <row r="15" spans="1:11" x14ac:dyDescent="0.25">
      <c r="A15" s="327" t="s">
        <v>368</v>
      </c>
      <c r="B15" s="328"/>
      <c r="C15" s="378" t="s">
        <v>451</v>
      </c>
      <c r="D15" s="330"/>
      <c r="E15" s="330"/>
      <c r="F15" s="377"/>
      <c r="G15" s="376">
        <v>31030</v>
      </c>
      <c r="H15" s="330"/>
      <c r="I15" s="325"/>
      <c r="J15" s="325"/>
      <c r="K15" s="325"/>
    </row>
    <row r="16" spans="1:11" x14ac:dyDescent="0.25">
      <c r="A16" s="331"/>
      <c r="B16" s="331"/>
      <c r="C16" s="333" t="s">
        <v>426</v>
      </c>
      <c r="D16" s="613">
        <v>72747.3</v>
      </c>
      <c r="E16" s="619"/>
      <c r="F16" s="370"/>
      <c r="H16" s="336">
        <v>103000</v>
      </c>
      <c r="I16" s="325"/>
      <c r="J16" s="325"/>
      <c r="K16" s="325"/>
    </row>
    <row r="17" spans="1:11" x14ac:dyDescent="0.25">
      <c r="A17" s="331"/>
      <c r="B17" s="331"/>
      <c r="C17" s="333" t="s">
        <v>409</v>
      </c>
      <c r="D17" s="614"/>
      <c r="E17" s="620"/>
      <c r="F17" s="374"/>
      <c r="G17" s="376">
        <v>19285</v>
      </c>
      <c r="H17" s="336">
        <v>47000</v>
      </c>
      <c r="I17" s="325"/>
      <c r="J17" s="325"/>
      <c r="K17" s="325"/>
    </row>
    <row r="18" spans="1:11" x14ac:dyDescent="0.25">
      <c r="A18" s="331"/>
      <c r="B18" s="331"/>
      <c r="C18" s="333" t="s">
        <v>450</v>
      </c>
      <c r="D18" s="614"/>
      <c r="E18" s="620"/>
      <c r="F18" s="374"/>
      <c r="G18" s="374"/>
      <c r="H18" s="336">
        <v>100000</v>
      </c>
      <c r="I18" s="325"/>
      <c r="J18" s="325"/>
      <c r="K18" s="325"/>
    </row>
    <row r="19" spans="1:11" x14ac:dyDescent="0.25">
      <c r="A19" s="331"/>
      <c r="B19" s="331"/>
      <c r="C19" s="333" t="s">
        <v>449</v>
      </c>
      <c r="D19" s="615"/>
      <c r="E19" s="621"/>
      <c r="F19" s="373"/>
      <c r="G19" s="373">
        <v>12250</v>
      </c>
      <c r="H19" s="336">
        <v>150000</v>
      </c>
      <c r="I19" s="325"/>
      <c r="J19" s="325"/>
      <c r="K19" s="325"/>
    </row>
    <row r="20" spans="1:11" x14ac:dyDescent="0.25">
      <c r="A20" s="331"/>
      <c r="B20" s="331"/>
      <c r="C20" s="333"/>
      <c r="D20" s="334"/>
      <c r="E20" s="335"/>
      <c r="F20" s="335"/>
      <c r="G20" s="368"/>
      <c r="H20" s="71">
        <f>SUM(H16:H19)</f>
        <v>400000</v>
      </c>
      <c r="I20" s="325"/>
      <c r="J20" s="325"/>
      <c r="K20" s="325"/>
    </row>
    <row r="21" spans="1:11" x14ac:dyDescent="0.25">
      <c r="A21" s="331"/>
      <c r="B21" s="331"/>
      <c r="C21" s="333" t="s">
        <v>448</v>
      </c>
      <c r="D21" s="334"/>
      <c r="E21" s="335"/>
      <c r="F21" s="335"/>
      <c r="G21" s="353"/>
      <c r="H21" s="371"/>
      <c r="I21" s="325"/>
      <c r="J21" s="325"/>
      <c r="K21" s="325"/>
    </row>
    <row r="22" spans="1:11" x14ac:dyDescent="0.25">
      <c r="A22" s="331"/>
      <c r="B22" s="331"/>
      <c r="C22" s="333" t="s">
        <v>447</v>
      </c>
      <c r="D22" s="613">
        <v>13526</v>
      </c>
      <c r="E22" s="613"/>
      <c r="F22" s="375"/>
      <c r="G22" s="375"/>
      <c r="H22" s="336">
        <v>45500</v>
      </c>
      <c r="I22" s="325"/>
      <c r="J22" s="325"/>
      <c r="K22" s="325"/>
    </row>
    <row r="23" spans="1:11" x14ac:dyDescent="0.25">
      <c r="A23" s="331"/>
      <c r="B23" s="331"/>
      <c r="C23" s="333" t="s">
        <v>446</v>
      </c>
      <c r="D23" s="614"/>
      <c r="E23" s="614"/>
      <c r="F23" s="374"/>
      <c r="G23" s="374"/>
      <c r="H23" s="336">
        <v>50000</v>
      </c>
      <c r="I23" s="325"/>
      <c r="J23" s="325"/>
      <c r="K23" s="325"/>
    </row>
    <row r="24" spans="1:11" x14ac:dyDescent="0.25">
      <c r="A24" s="331"/>
      <c r="B24" s="331"/>
      <c r="C24" s="333" t="s">
        <v>445</v>
      </c>
      <c r="D24" s="614"/>
      <c r="E24" s="614"/>
      <c r="F24" s="373"/>
      <c r="G24" s="373">
        <v>600</v>
      </c>
      <c r="H24" s="336"/>
      <c r="I24" s="325"/>
      <c r="J24" s="325"/>
      <c r="K24" s="325"/>
    </row>
    <row r="25" spans="1:11" x14ac:dyDescent="0.25">
      <c r="A25" s="331"/>
      <c r="B25" s="331"/>
      <c r="C25" s="333"/>
      <c r="D25" s="334"/>
      <c r="E25" s="335"/>
      <c r="F25" s="335"/>
      <c r="G25" s="368"/>
      <c r="H25" s="71">
        <f>SUM(H22:H24)</f>
        <v>95500</v>
      </c>
      <c r="I25" s="325"/>
      <c r="J25" s="325"/>
      <c r="K25" s="325"/>
    </row>
    <row r="26" spans="1:11" x14ac:dyDescent="0.25">
      <c r="A26" s="331"/>
      <c r="B26" s="331"/>
      <c r="C26" s="333"/>
      <c r="D26" s="334"/>
      <c r="E26" s="335"/>
      <c r="F26" s="335"/>
      <c r="G26" s="368"/>
      <c r="H26" s="370"/>
      <c r="I26" s="325"/>
      <c r="J26" s="325"/>
      <c r="K26" s="325"/>
    </row>
    <row r="27" spans="1:11" x14ac:dyDescent="0.25">
      <c r="A27" s="331"/>
      <c r="B27" s="331"/>
      <c r="C27" s="333"/>
      <c r="D27" s="334"/>
      <c r="E27" s="335"/>
      <c r="F27" s="335"/>
      <c r="G27" s="353"/>
      <c r="H27" s="365"/>
      <c r="I27" s="325"/>
      <c r="J27" s="325"/>
      <c r="K27" s="325"/>
    </row>
    <row r="28" spans="1:11" x14ac:dyDescent="0.25">
      <c r="A28" s="331"/>
      <c r="B28" s="331"/>
      <c r="C28" s="333"/>
      <c r="D28" s="334"/>
      <c r="E28" s="335"/>
      <c r="F28" s="335"/>
      <c r="G28" s="335"/>
      <c r="H28" s="336"/>
      <c r="I28" s="325"/>
      <c r="J28" s="325"/>
      <c r="K28" s="325"/>
    </row>
    <row r="29" spans="1:11" x14ac:dyDescent="0.25">
      <c r="A29" s="331"/>
      <c r="B29" s="331"/>
      <c r="C29" s="333"/>
      <c r="D29" s="334"/>
      <c r="E29" s="335"/>
      <c r="F29" s="335"/>
      <c r="G29" s="335"/>
      <c r="H29" s="336"/>
      <c r="I29" s="325"/>
      <c r="J29" s="325"/>
      <c r="K29" s="325"/>
    </row>
    <row r="30" spans="1:11" hidden="1" x14ac:dyDescent="0.25">
      <c r="A30" s="337"/>
      <c r="B30" s="338"/>
      <c r="C30" s="339"/>
      <c r="D30" s="340"/>
      <c r="E30" s="340"/>
      <c r="F30" s="340"/>
      <c r="G30" s="340"/>
      <c r="H30" s="341"/>
      <c r="I30" s="325"/>
      <c r="J30" s="325"/>
      <c r="K30" s="325"/>
    </row>
    <row r="31" spans="1:11" x14ac:dyDescent="0.25">
      <c r="A31" s="326"/>
      <c r="B31" s="342"/>
      <c r="C31" s="343"/>
      <c r="D31" s="344"/>
      <c r="E31" s="344"/>
      <c r="F31" s="344"/>
      <c r="G31" s="344"/>
      <c r="H31" s="349"/>
      <c r="I31" s="325"/>
      <c r="J31" s="325"/>
      <c r="K31" s="325"/>
    </row>
    <row r="32" spans="1:11" x14ac:dyDescent="0.25">
      <c r="A32" s="326"/>
      <c r="B32" s="342"/>
      <c r="C32" s="343"/>
      <c r="D32" s="344"/>
      <c r="E32" s="344"/>
      <c r="F32" s="344"/>
      <c r="G32" s="344"/>
      <c r="H32" s="345"/>
      <c r="I32" s="325"/>
      <c r="J32" s="325"/>
      <c r="K32" s="325"/>
    </row>
    <row r="33" spans="1:13" x14ac:dyDescent="0.25">
      <c r="A33" s="326"/>
      <c r="B33" s="342"/>
      <c r="C33" s="348" t="s">
        <v>348</v>
      </c>
      <c r="D33" s="344">
        <f>D16+D22</f>
        <v>86273.3</v>
      </c>
      <c r="E33" s="344">
        <f>E16+E22</f>
        <v>0</v>
      </c>
      <c r="F33" s="344"/>
      <c r="G33" s="344">
        <f>SUM(G15:G32)</f>
        <v>63165</v>
      </c>
      <c r="H33" s="345">
        <f>H20+H25</f>
        <v>495500</v>
      </c>
      <c r="I33" s="325"/>
      <c r="J33" s="325"/>
      <c r="K33" s="325"/>
    </row>
    <row r="34" spans="1:13" x14ac:dyDescent="0.25">
      <c r="A34" s="347"/>
      <c r="B34" s="134"/>
      <c r="C34" s="348" t="s">
        <v>405</v>
      </c>
      <c r="D34" s="349"/>
      <c r="E34" s="349"/>
      <c r="F34" s="349"/>
      <c r="G34" s="349"/>
      <c r="H34" s="364"/>
      <c r="I34" s="325"/>
      <c r="J34" s="325"/>
      <c r="K34" s="325"/>
    </row>
    <row r="35" spans="1:13" x14ac:dyDescent="0.25">
      <c r="A35" s="36"/>
      <c r="B35" s="36"/>
      <c r="C35" s="36" t="s">
        <v>320</v>
      </c>
      <c r="D35" s="69">
        <f>D33+D34</f>
        <v>86273.3</v>
      </c>
      <c r="E35" s="69">
        <f>E33+E34</f>
        <v>0</v>
      </c>
      <c r="F35" s="69"/>
      <c r="G35" s="69">
        <f>SUM(G33:G34)</f>
        <v>63165</v>
      </c>
      <c r="H35" s="69">
        <f>SUM(H33:H34)</f>
        <v>495500</v>
      </c>
    </row>
    <row r="36" spans="1:13" x14ac:dyDescent="0.25">
      <c r="D36" s="136"/>
      <c r="E36" s="136"/>
      <c r="F36" s="136"/>
      <c r="G36" s="136"/>
      <c r="H36" s="136"/>
      <c r="M36" s="160"/>
    </row>
    <row r="37" spans="1:13" ht="21" x14ac:dyDescent="0.35">
      <c r="A37" s="608" t="s">
        <v>444</v>
      </c>
      <c r="B37" s="608"/>
      <c r="C37" s="608"/>
      <c r="D37" s="608"/>
      <c r="E37" s="608"/>
      <c r="F37" s="608"/>
      <c r="G37" s="608"/>
      <c r="H37" s="608"/>
      <c r="I37" s="158"/>
      <c r="K37" s="160"/>
    </row>
    <row r="38" spans="1:13" ht="21" x14ac:dyDescent="0.35">
      <c r="A38" s="158"/>
      <c r="B38" s="158"/>
      <c r="C38" s="361"/>
      <c r="E38" s="361"/>
      <c r="H38" s="361"/>
      <c r="I38" s="158"/>
    </row>
    <row r="39" spans="1:13" ht="21" x14ac:dyDescent="0.35">
      <c r="A39" s="158"/>
      <c r="B39" s="158"/>
      <c r="C39" s="361"/>
      <c r="E39" s="361"/>
      <c r="H39" s="361"/>
      <c r="I39" s="158"/>
    </row>
    <row r="40" spans="1:13" ht="21" x14ac:dyDescent="0.35">
      <c r="A40" s="607" t="s">
        <v>443</v>
      </c>
      <c r="B40" s="607"/>
      <c r="C40" s="607"/>
      <c r="D40" s="607"/>
      <c r="E40" s="607"/>
      <c r="F40" s="607"/>
      <c r="G40" s="607"/>
      <c r="H40" s="607"/>
      <c r="I40" s="158"/>
    </row>
    <row r="41" spans="1:13" ht="21" x14ac:dyDescent="0.35">
      <c r="A41" s="608" t="s">
        <v>442</v>
      </c>
      <c r="B41" s="608"/>
      <c r="C41" s="608"/>
      <c r="D41" s="608"/>
      <c r="E41" s="608"/>
      <c r="F41" s="608"/>
      <c r="G41" s="608"/>
      <c r="H41" s="608"/>
      <c r="I41" s="158"/>
    </row>
    <row r="42" spans="1:13" ht="21" x14ac:dyDescent="0.35">
      <c r="A42" s="158"/>
      <c r="B42" s="158"/>
      <c r="C42" s="158"/>
      <c r="D42" s="158"/>
      <c r="E42" s="158"/>
      <c r="F42" s="158"/>
      <c r="G42" s="158"/>
      <c r="H42" s="158"/>
      <c r="I42" s="158"/>
    </row>
    <row r="43" spans="1:13" ht="21" x14ac:dyDescent="0.35">
      <c r="A43" s="158"/>
      <c r="B43" s="158"/>
      <c r="C43" s="158"/>
      <c r="D43" s="158"/>
      <c r="E43" s="158"/>
      <c r="F43" s="158"/>
      <c r="G43" s="158"/>
      <c r="H43" s="158"/>
      <c r="I43" s="158"/>
    </row>
    <row r="44" spans="1:13" ht="21" x14ac:dyDescent="0.35">
      <c r="A44" s="158"/>
      <c r="B44" s="158"/>
      <c r="C44" s="158"/>
      <c r="D44" s="158"/>
      <c r="E44" s="158"/>
      <c r="F44" s="158"/>
      <c r="G44" s="158"/>
      <c r="H44" s="158"/>
      <c r="I44" s="158"/>
    </row>
    <row r="45" spans="1:13" ht="21" x14ac:dyDescent="0.35">
      <c r="A45" s="158"/>
      <c r="B45" s="158"/>
      <c r="C45" s="158"/>
      <c r="D45" s="158"/>
      <c r="E45" s="158"/>
      <c r="F45" s="158"/>
      <c r="G45" s="158"/>
      <c r="H45" s="158"/>
      <c r="I45" s="158"/>
    </row>
  </sheetData>
  <sheetProtection password="CCFC" sheet="1" objects="1" scenarios="1" selectLockedCells="1" selectUnlockedCells="1"/>
  <mergeCells count="10">
    <mergeCell ref="A3:H3"/>
    <mergeCell ref="A4:H4"/>
    <mergeCell ref="E10:F10"/>
    <mergeCell ref="D22:D24"/>
    <mergeCell ref="E22:E24"/>
    <mergeCell ref="A37:H37"/>
    <mergeCell ref="A40:H40"/>
    <mergeCell ref="A41:H41"/>
    <mergeCell ref="D16:D19"/>
    <mergeCell ref="E16:E1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0" workbookViewId="0">
      <selection activeCell="B35" sqref="B35"/>
    </sheetView>
  </sheetViews>
  <sheetFormatPr defaultRowHeight="15" x14ac:dyDescent="0.25"/>
  <cols>
    <col min="1" max="1" width="10.85546875" style="137" customWidth="1"/>
    <col min="2" max="2" width="8.42578125" style="137" customWidth="1"/>
    <col min="3" max="3" width="42.7109375" style="137" bestFit="1" customWidth="1"/>
    <col min="4" max="4" width="13.7109375" style="137" customWidth="1"/>
    <col min="5" max="5" width="13.28515625" style="137" bestFit="1" customWidth="1"/>
    <col min="6" max="7" width="14.7109375" style="137" customWidth="1"/>
    <col min="8" max="8" width="14.140625" style="137" customWidth="1"/>
    <col min="9" max="9" width="13.85546875" style="137" bestFit="1" customWidth="1"/>
    <col min="10" max="10" width="9.140625" style="137"/>
    <col min="11" max="11" width="14.28515625" style="137" bestFit="1" customWidth="1"/>
    <col min="12" max="12" width="9.140625" style="137"/>
    <col min="13" max="13" width="14.28515625" style="137" bestFit="1" customWidth="1"/>
    <col min="14" max="16384" width="9.140625" style="137"/>
  </cols>
  <sheetData>
    <row r="1" spans="1:11" x14ac:dyDescent="0.25">
      <c r="A1" s="137" t="s">
        <v>366</v>
      </c>
      <c r="H1" s="137" t="s">
        <v>365</v>
      </c>
    </row>
    <row r="3" spans="1:11" ht="21" x14ac:dyDescent="0.35">
      <c r="A3" s="586" t="s">
        <v>364</v>
      </c>
      <c r="B3" s="586"/>
      <c r="C3" s="586"/>
      <c r="D3" s="586"/>
      <c r="E3" s="586"/>
      <c r="F3" s="586"/>
      <c r="G3" s="586"/>
      <c r="H3" s="586"/>
      <c r="I3" s="323"/>
      <c r="J3" s="323"/>
      <c r="K3" s="323"/>
    </row>
    <row r="4" spans="1:11" ht="21" x14ac:dyDescent="0.35">
      <c r="A4" s="586" t="s">
        <v>401</v>
      </c>
      <c r="B4" s="586"/>
      <c r="C4" s="586"/>
      <c r="D4" s="586"/>
      <c r="E4" s="586"/>
      <c r="F4" s="586"/>
      <c r="G4" s="586"/>
      <c r="H4" s="586"/>
    </row>
    <row r="5" spans="1:11" ht="21" x14ac:dyDescent="0.35">
      <c r="A5" s="268"/>
      <c r="B5" s="268"/>
      <c r="C5" s="268"/>
      <c r="D5" s="268"/>
      <c r="E5" s="268"/>
      <c r="F5" s="268"/>
      <c r="G5" s="268"/>
      <c r="H5" s="268"/>
    </row>
    <row r="6" spans="1:11" ht="21" x14ac:dyDescent="0.35">
      <c r="A6" s="155" t="s">
        <v>81</v>
      </c>
      <c r="B6" s="268"/>
      <c r="C6" s="268"/>
      <c r="D6" s="268"/>
      <c r="E6" s="268"/>
      <c r="F6" s="268"/>
      <c r="G6" s="268"/>
      <c r="H6" s="268"/>
    </row>
    <row r="7" spans="1:11" ht="21" x14ac:dyDescent="0.35">
      <c r="A7" s="154" t="s">
        <v>196</v>
      </c>
      <c r="B7" s="268"/>
      <c r="C7" s="268"/>
      <c r="D7" s="268"/>
      <c r="E7" s="268"/>
      <c r="F7" s="268"/>
      <c r="G7" s="268"/>
      <c r="H7" s="268"/>
    </row>
    <row r="8" spans="1:11" ht="21" x14ac:dyDescent="0.35">
      <c r="A8" s="154" t="s">
        <v>73</v>
      </c>
      <c r="B8" s="268"/>
      <c r="C8" s="268"/>
      <c r="D8" s="268"/>
      <c r="E8" s="268"/>
      <c r="F8" s="268"/>
      <c r="G8" s="268"/>
      <c r="H8" s="268"/>
    </row>
    <row r="9" spans="1:11" ht="21" x14ac:dyDescent="0.35">
      <c r="A9" s="158"/>
      <c r="B9" s="158"/>
      <c r="C9" s="158"/>
      <c r="D9" s="158"/>
      <c r="E9" s="158"/>
      <c r="F9" s="158"/>
      <c r="G9" s="158"/>
      <c r="H9" s="158"/>
    </row>
    <row r="10" spans="1:11" ht="45" x14ac:dyDescent="0.25">
      <c r="A10" s="269" t="s">
        <v>360</v>
      </c>
      <c r="B10" s="89" t="s">
        <v>359</v>
      </c>
      <c r="C10" s="89" t="s">
        <v>358</v>
      </c>
      <c r="D10" s="89" t="s">
        <v>2</v>
      </c>
      <c r="E10" s="610" t="s">
        <v>357</v>
      </c>
      <c r="F10" s="610"/>
      <c r="G10" s="89"/>
      <c r="H10" s="89" t="s">
        <v>3</v>
      </c>
      <c r="I10" s="325"/>
      <c r="J10" s="325"/>
      <c r="K10" s="325"/>
    </row>
    <row r="11" spans="1:11" ht="45" x14ac:dyDescent="0.25">
      <c r="A11" s="90"/>
      <c r="B11" s="90"/>
      <c r="C11" s="90"/>
      <c r="D11" s="90" t="s">
        <v>4</v>
      </c>
      <c r="E11" s="269" t="s">
        <v>356</v>
      </c>
      <c r="F11" s="269" t="s">
        <v>119</v>
      </c>
      <c r="G11" s="270" t="s">
        <v>62</v>
      </c>
      <c r="H11" s="90" t="s">
        <v>6</v>
      </c>
      <c r="I11" s="325"/>
      <c r="J11" s="325"/>
      <c r="K11" s="325"/>
    </row>
    <row r="12" spans="1:11" x14ac:dyDescent="0.25">
      <c r="A12" s="90"/>
      <c r="B12" s="90"/>
      <c r="C12" s="90"/>
      <c r="D12" s="90"/>
      <c r="E12" s="90" t="s">
        <v>4</v>
      </c>
      <c r="F12" s="90" t="s">
        <v>7</v>
      </c>
      <c r="G12" s="90"/>
      <c r="H12" s="90"/>
      <c r="I12" s="325"/>
      <c r="J12" s="325"/>
      <c r="K12" s="325"/>
    </row>
    <row r="13" spans="1:11" x14ac:dyDescent="0.25">
      <c r="A13" s="90"/>
      <c r="B13" s="90"/>
      <c r="C13" s="90"/>
      <c r="D13" s="90">
        <v>2016</v>
      </c>
      <c r="E13" s="90">
        <v>2017</v>
      </c>
      <c r="F13" s="90">
        <v>2017</v>
      </c>
      <c r="G13" s="90"/>
      <c r="H13" s="90">
        <v>2018</v>
      </c>
      <c r="I13" s="325"/>
      <c r="J13" s="325"/>
      <c r="K13" s="325"/>
    </row>
    <row r="14" spans="1:11" x14ac:dyDescent="0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5"/>
      <c r="J14" s="325"/>
      <c r="K14" s="325"/>
    </row>
    <row r="15" spans="1:11" x14ac:dyDescent="0.25">
      <c r="A15" s="331"/>
      <c r="B15" s="331"/>
      <c r="C15" s="333" t="s">
        <v>460</v>
      </c>
      <c r="D15" s="334"/>
      <c r="E15" s="335"/>
      <c r="F15" s="335"/>
      <c r="G15" s="335"/>
      <c r="H15" s="336"/>
      <c r="I15" s="325"/>
      <c r="J15" s="325"/>
      <c r="K15" s="325"/>
    </row>
    <row r="16" spans="1:11" x14ac:dyDescent="0.25">
      <c r="A16" s="331"/>
      <c r="B16" s="331"/>
      <c r="C16" s="333" t="s">
        <v>456</v>
      </c>
      <c r="D16" s="334"/>
      <c r="E16" s="334">
        <v>15750</v>
      </c>
      <c r="F16" s="334">
        <f>G16-E16</f>
        <v>21890</v>
      </c>
      <c r="G16" s="334">
        <v>37640</v>
      </c>
      <c r="H16" s="336"/>
      <c r="I16" s="325"/>
      <c r="J16" s="325"/>
      <c r="K16" s="325"/>
    </row>
    <row r="17" spans="1:13" x14ac:dyDescent="0.25">
      <c r="A17" s="331"/>
      <c r="B17" s="331"/>
      <c r="C17" s="333" t="s">
        <v>409</v>
      </c>
      <c r="D17" s="334"/>
      <c r="E17" s="334">
        <v>3150</v>
      </c>
      <c r="F17" s="334">
        <f>G17-E17</f>
        <v>6640</v>
      </c>
      <c r="G17" s="334">
        <v>9790</v>
      </c>
      <c r="H17" s="336"/>
      <c r="I17" s="325"/>
      <c r="J17" s="325"/>
      <c r="K17" s="325"/>
    </row>
    <row r="18" spans="1:13" x14ac:dyDescent="0.25">
      <c r="A18" s="331"/>
      <c r="B18" s="331"/>
      <c r="C18" s="333" t="s">
        <v>447</v>
      </c>
      <c r="D18" s="334"/>
      <c r="E18" s="335"/>
      <c r="F18" s="334">
        <f>G18-E18</f>
        <v>72185.070000000007</v>
      </c>
      <c r="G18" s="334">
        <v>72185.070000000007</v>
      </c>
      <c r="H18" s="336"/>
      <c r="I18" s="325"/>
      <c r="J18" s="325"/>
      <c r="K18" s="325"/>
    </row>
    <row r="19" spans="1:13" x14ac:dyDescent="0.25">
      <c r="A19" s="331"/>
      <c r="B19" s="331"/>
      <c r="C19" s="333" t="s">
        <v>459</v>
      </c>
      <c r="D19" s="334"/>
      <c r="E19" s="335"/>
      <c r="F19" s="334">
        <f>G19-E19</f>
        <v>30000</v>
      </c>
      <c r="G19" s="334">
        <v>30000</v>
      </c>
      <c r="H19" s="336"/>
      <c r="I19" s="325"/>
      <c r="J19" s="325"/>
      <c r="K19" s="325"/>
    </row>
    <row r="20" spans="1:13" ht="30" x14ac:dyDescent="0.25">
      <c r="A20" s="331"/>
      <c r="B20" s="331"/>
      <c r="C20" s="333" t="s">
        <v>458</v>
      </c>
      <c r="D20" s="334"/>
      <c r="E20" s="335"/>
      <c r="F20" s="334"/>
      <c r="G20" s="334"/>
      <c r="H20" s="336"/>
      <c r="I20" s="325"/>
      <c r="J20" s="325"/>
      <c r="K20" s="325"/>
    </row>
    <row r="21" spans="1:13" x14ac:dyDescent="0.25">
      <c r="A21" s="331"/>
      <c r="B21" s="331"/>
      <c r="C21" s="381"/>
      <c r="D21" s="334"/>
      <c r="E21" s="335"/>
      <c r="F21" s="334"/>
      <c r="G21" s="334"/>
      <c r="H21" s="366">
        <f>SUM(H16:H20)</f>
        <v>0</v>
      </c>
      <c r="I21" s="325"/>
      <c r="J21" s="325"/>
      <c r="K21" s="325"/>
    </row>
    <row r="22" spans="1:13" x14ac:dyDescent="0.25">
      <c r="A22" s="331"/>
      <c r="B22" s="331"/>
      <c r="C22" s="333" t="s">
        <v>457</v>
      </c>
      <c r="D22" s="334"/>
      <c r="E22" s="334">
        <v>2280</v>
      </c>
      <c r="F22" s="334"/>
      <c r="G22" s="355"/>
      <c r="H22" s="365"/>
      <c r="I22" s="325"/>
      <c r="J22" s="325"/>
      <c r="K22" s="325"/>
    </row>
    <row r="23" spans="1:13" x14ac:dyDescent="0.25">
      <c r="A23" s="331"/>
      <c r="B23" s="331"/>
      <c r="C23" s="333" t="s">
        <v>456</v>
      </c>
      <c r="D23" s="334"/>
      <c r="E23" s="334">
        <v>17500</v>
      </c>
      <c r="F23" s="334">
        <f>G23-E23</f>
        <v>-8950</v>
      </c>
      <c r="G23" s="334">
        <v>8550</v>
      </c>
      <c r="H23" s="336"/>
      <c r="I23" s="325"/>
      <c r="J23" s="325"/>
      <c r="K23" s="325"/>
    </row>
    <row r="24" spans="1:13" x14ac:dyDescent="0.25">
      <c r="A24" s="331"/>
      <c r="B24" s="331"/>
      <c r="C24" s="333" t="s">
        <v>409</v>
      </c>
      <c r="D24" s="334"/>
      <c r="E24" s="334"/>
      <c r="F24" s="334">
        <f>G24-E24</f>
        <v>6580</v>
      </c>
      <c r="G24" s="334">
        <v>6580</v>
      </c>
      <c r="H24" s="336"/>
      <c r="I24" s="325"/>
      <c r="J24" s="325"/>
      <c r="K24" s="325"/>
    </row>
    <row r="25" spans="1:13" x14ac:dyDescent="0.25">
      <c r="A25" s="331"/>
      <c r="B25" s="331"/>
      <c r="C25" s="333"/>
      <c r="D25" s="334"/>
      <c r="E25" s="335"/>
      <c r="F25" s="334"/>
      <c r="G25" s="334"/>
      <c r="H25" s="366">
        <f>SUM(H23:H24)</f>
        <v>0</v>
      </c>
      <c r="I25" s="325"/>
      <c r="J25" s="325"/>
      <c r="K25" s="325"/>
    </row>
    <row r="26" spans="1:13" x14ac:dyDescent="0.25">
      <c r="A26" s="331"/>
      <c r="B26" s="331"/>
      <c r="C26" s="333"/>
      <c r="D26" s="334"/>
      <c r="E26" s="334"/>
      <c r="F26" s="334"/>
      <c r="G26" s="93"/>
      <c r="H26" s="368"/>
      <c r="I26" s="325"/>
      <c r="J26" s="325"/>
      <c r="K26" s="325"/>
    </row>
    <row r="27" spans="1:13" x14ac:dyDescent="0.25">
      <c r="A27" s="331"/>
      <c r="B27" s="331"/>
      <c r="C27" s="333" t="s">
        <v>455</v>
      </c>
      <c r="D27" s="334"/>
      <c r="E27" s="334"/>
      <c r="F27" s="334"/>
      <c r="G27" s="355"/>
      <c r="H27" s="365"/>
      <c r="I27" s="325"/>
      <c r="J27" s="325"/>
      <c r="K27" s="325"/>
    </row>
    <row r="28" spans="1:13" x14ac:dyDescent="0.25">
      <c r="A28" s="90"/>
      <c r="B28" s="90"/>
      <c r="C28" s="380"/>
      <c r="D28" s="93"/>
      <c r="E28" s="93"/>
      <c r="F28" s="93"/>
      <c r="G28" s="93"/>
      <c r="H28" s="100"/>
      <c r="I28" s="325"/>
      <c r="J28" s="325"/>
      <c r="K28" s="325"/>
    </row>
    <row r="29" spans="1:13" x14ac:dyDescent="0.25">
      <c r="A29" s="326"/>
      <c r="B29" s="342"/>
      <c r="C29" s="348" t="s">
        <v>348</v>
      </c>
      <c r="D29" s="364">
        <f>SUM(D23:D27)</f>
        <v>0</v>
      </c>
      <c r="E29" s="364">
        <f>SUM(E16:E28)</f>
        <v>38680</v>
      </c>
      <c r="F29" s="364">
        <f>SUM(F16:F28)</f>
        <v>128345.07</v>
      </c>
      <c r="G29" s="364">
        <f>SUM(G16:G28)</f>
        <v>164745.07</v>
      </c>
      <c r="H29" s="379">
        <f>H21+H25+H27</f>
        <v>0</v>
      </c>
      <c r="I29" s="325"/>
      <c r="J29" s="325"/>
      <c r="K29" s="325"/>
    </row>
    <row r="30" spans="1:13" x14ac:dyDescent="0.25">
      <c r="A30" s="347"/>
      <c r="B30" s="134"/>
      <c r="C30" s="348" t="s">
        <v>405</v>
      </c>
      <c r="D30" s="349"/>
      <c r="E30" s="349"/>
      <c r="F30" s="349"/>
      <c r="G30" s="349"/>
      <c r="H30" s="364"/>
      <c r="I30" s="325"/>
      <c r="J30" s="325"/>
      <c r="K30" s="325"/>
    </row>
    <row r="31" spans="1:13" x14ac:dyDescent="0.25">
      <c r="A31" s="36"/>
      <c r="B31" s="36"/>
      <c r="C31" s="36" t="s">
        <v>320</v>
      </c>
      <c r="D31" s="69">
        <f>D29+D30</f>
        <v>0</v>
      </c>
      <c r="E31" s="69">
        <f>SUM(E29:E30)</f>
        <v>38680</v>
      </c>
      <c r="F31" s="69">
        <f>F29+F30</f>
        <v>128345.07</v>
      </c>
      <c r="G31" s="69">
        <f>SUM(G29:G30)</f>
        <v>164745.07</v>
      </c>
      <c r="H31" s="69">
        <f>SUM(H29:H30)</f>
        <v>0</v>
      </c>
    </row>
    <row r="32" spans="1:13" x14ac:dyDescent="0.25">
      <c r="D32" s="136"/>
      <c r="E32" s="136"/>
      <c r="F32" s="136"/>
      <c r="G32" s="136"/>
      <c r="H32" s="136"/>
      <c r="M32" s="160"/>
    </row>
    <row r="33" spans="1:11" ht="21" x14ac:dyDescent="0.35">
      <c r="A33" s="608" t="s">
        <v>454</v>
      </c>
      <c r="B33" s="608"/>
      <c r="C33" s="608"/>
      <c r="D33" s="608"/>
      <c r="E33" s="608"/>
      <c r="F33" s="608"/>
      <c r="G33" s="608"/>
      <c r="H33" s="608"/>
      <c r="I33" s="158"/>
      <c r="K33" s="160"/>
    </row>
    <row r="34" spans="1:11" ht="21" x14ac:dyDescent="0.35">
      <c r="A34" s="158"/>
      <c r="B34" s="158"/>
      <c r="C34" s="361"/>
      <c r="E34" s="361"/>
      <c r="H34" s="361"/>
      <c r="I34" s="158"/>
    </row>
    <row r="35" spans="1:11" ht="21" x14ac:dyDescent="0.35">
      <c r="A35" s="158"/>
      <c r="B35" s="158"/>
      <c r="C35" s="361"/>
      <c r="E35" s="361"/>
      <c r="H35" s="361"/>
      <c r="I35" s="158"/>
    </row>
    <row r="36" spans="1:11" ht="21" x14ac:dyDescent="0.35">
      <c r="A36" s="607" t="s">
        <v>453</v>
      </c>
      <c r="B36" s="607"/>
      <c r="C36" s="607"/>
      <c r="D36" s="607"/>
      <c r="E36" s="607"/>
      <c r="F36" s="607"/>
      <c r="G36" s="607"/>
      <c r="H36" s="607"/>
      <c r="I36" s="158"/>
    </row>
    <row r="37" spans="1:11" ht="21" x14ac:dyDescent="0.35">
      <c r="A37" s="608" t="s">
        <v>452</v>
      </c>
      <c r="B37" s="608"/>
      <c r="C37" s="608"/>
      <c r="D37" s="608"/>
      <c r="E37" s="608"/>
      <c r="F37" s="608"/>
      <c r="G37" s="608"/>
      <c r="H37" s="608"/>
      <c r="I37" s="158"/>
    </row>
    <row r="38" spans="1:11" ht="21" x14ac:dyDescent="0.35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11" ht="21" x14ac:dyDescent="0.35">
      <c r="A39" s="158"/>
      <c r="B39" s="158"/>
      <c r="C39" s="158"/>
      <c r="D39" s="158"/>
      <c r="E39" s="158"/>
      <c r="F39" s="158"/>
      <c r="G39" s="158"/>
      <c r="H39" s="158"/>
      <c r="I39" s="158"/>
    </row>
    <row r="40" spans="1:11" ht="21" x14ac:dyDescent="0.35">
      <c r="A40" s="158"/>
      <c r="B40" s="158"/>
      <c r="C40" s="158"/>
      <c r="D40" s="158"/>
      <c r="E40" s="158"/>
      <c r="F40" s="158"/>
      <c r="G40" s="158"/>
      <c r="H40" s="158"/>
      <c r="I40" s="158"/>
    </row>
    <row r="41" spans="1:11" ht="21" x14ac:dyDescent="0.35">
      <c r="A41" s="158"/>
      <c r="B41" s="158"/>
      <c r="C41" s="158"/>
      <c r="D41" s="158"/>
      <c r="E41" s="158"/>
      <c r="F41" s="158"/>
      <c r="G41" s="158"/>
      <c r="H41" s="158"/>
      <c r="I41" s="158"/>
    </row>
  </sheetData>
  <sheetProtection password="CCFC" sheet="1" objects="1" scenarios="1" selectLockedCells="1" selectUnlockedCells="1"/>
  <mergeCells count="6">
    <mergeCell ref="A33:H33"/>
    <mergeCell ref="A36:H36"/>
    <mergeCell ref="A37:H37"/>
    <mergeCell ref="A3:H3"/>
    <mergeCell ref="A4:H4"/>
    <mergeCell ref="E10:F10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6" workbookViewId="0">
      <selection activeCell="C39" sqref="C39"/>
    </sheetView>
  </sheetViews>
  <sheetFormatPr defaultRowHeight="15" x14ac:dyDescent="0.25"/>
  <cols>
    <col min="1" max="1" width="12.140625" style="137" customWidth="1"/>
    <col min="2" max="2" width="9.7109375" style="137" customWidth="1"/>
    <col min="3" max="3" width="31.7109375" style="137" customWidth="1"/>
    <col min="4" max="4" width="15.140625" style="137" customWidth="1"/>
    <col min="5" max="5" width="13.28515625" style="137" customWidth="1"/>
    <col min="6" max="7" width="14.85546875" style="137" customWidth="1"/>
    <col min="8" max="8" width="13.7109375" style="137" customWidth="1"/>
    <col min="9" max="9" width="13.85546875" style="137" bestFit="1" customWidth="1"/>
    <col min="10" max="10" width="9.140625" style="137"/>
    <col min="11" max="11" width="14.28515625" style="137" bestFit="1" customWidth="1"/>
    <col min="12" max="12" width="9.140625" style="137"/>
    <col min="13" max="13" width="14.28515625" style="137" bestFit="1" customWidth="1"/>
    <col min="14" max="16384" width="9.140625" style="137"/>
  </cols>
  <sheetData>
    <row r="1" spans="1:11" x14ac:dyDescent="0.25">
      <c r="A1" s="137" t="s">
        <v>366</v>
      </c>
      <c r="H1" s="137" t="s">
        <v>365</v>
      </c>
    </row>
    <row r="3" spans="1:11" ht="21" x14ac:dyDescent="0.35">
      <c r="A3" s="586" t="s">
        <v>364</v>
      </c>
      <c r="B3" s="586"/>
      <c r="C3" s="586"/>
      <c r="D3" s="586"/>
      <c r="E3" s="586"/>
      <c r="F3" s="586"/>
      <c r="G3" s="586"/>
      <c r="H3" s="586"/>
      <c r="I3" s="323"/>
      <c r="J3" s="323"/>
      <c r="K3" s="323"/>
    </row>
    <row r="4" spans="1:11" ht="21" x14ac:dyDescent="0.35">
      <c r="A4" s="586" t="s">
        <v>401</v>
      </c>
      <c r="B4" s="586"/>
      <c r="C4" s="586"/>
      <c r="D4" s="586"/>
      <c r="E4" s="586"/>
      <c r="F4" s="586"/>
      <c r="G4" s="586"/>
      <c r="H4" s="586"/>
    </row>
    <row r="5" spans="1:11" ht="21" x14ac:dyDescent="0.35">
      <c r="A5" s="268"/>
      <c r="B5" s="268"/>
      <c r="C5" s="268"/>
      <c r="D5" s="268"/>
      <c r="E5" s="268"/>
      <c r="F5" s="268"/>
      <c r="G5" s="268"/>
      <c r="H5" s="268"/>
    </row>
    <row r="6" spans="1:11" ht="21" x14ac:dyDescent="0.35">
      <c r="A6" s="157" t="s">
        <v>84</v>
      </c>
      <c r="B6" s="268"/>
      <c r="C6" s="268"/>
      <c r="D6" s="268"/>
      <c r="E6" s="268"/>
      <c r="F6" s="268"/>
      <c r="G6" s="268"/>
      <c r="H6" s="268"/>
    </row>
    <row r="7" spans="1:11" ht="21" x14ac:dyDescent="0.35">
      <c r="A7" s="156" t="s">
        <v>83</v>
      </c>
      <c r="B7" s="268"/>
      <c r="C7" s="268"/>
      <c r="D7" s="268"/>
      <c r="E7" s="268"/>
      <c r="F7" s="268"/>
      <c r="G7" s="268"/>
      <c r="H7" s="268"/>
    </row>
    <row r="8" spans="1:11" ht="21" x14ac:dyDescent="0.35">
      <c r="A8" s="156" t="s">
        <v>82</v>
      </c>
      <c r="B8" s="268"/>
      <c r="C8" s="268"/>
      <c r="D8" s="268"/>
      <c r="E8" s="268"/>
      <c r="F8" s="268"/>
      <c r="G8" s="268"/>
      <c r="H8" s="268"/>
    </row>
    <row r="9" spans="1:11" ht="21" x14ac:dyDescent="0.35">
      <c r="A9" s="158"/>
      <c r="B9" s="158"/>
      <c r="C9" s="158"/>
      <c r="D9" s="158"/>
      <c r="E9" s="158"/>
      <c r="F9" s="158"/>
      <c r="G9" s="158"/>
      <c r="H9" s="158"/>
    </row>
    <row r="10" spans="1:11" ht="45" x14ac:dyDescent="0.25">
      <c r="A10" s="269" t="s">
        <v>360</v>
      </c>
      <c r="B10" s="89" t="s">
        <v>359</v>
      </c>
      <c r="C10" s="89" t="s">
        <v>358</v>
      </c>
      <c r="D10" s="89" t="s">
        <v>2</v>
      </c>
      <c r="E10" s="610" t="s">
        <v>357</v>
      </c>
      <c r="F10" s="610"/>
      <c r="G10" s="89"/>
      <c r="H10" s="89" t="s">
        <v>3</v>
      </c>
      <c r="I10" s="325"/>
      <c r="J10" s="325"/>
      <c r="K10" s="325"/>
    </row>
    <row r="11" spans="1:11" ht="45" x14ac:dyDescent="0.25">
      <c r="A11" s="90"/>
      <c r="B11" s="90"/>
      <c r="C11" s="90"/>
      <c r="D11" s="90" t="s">
        <v>4</v>
      </c>
      <c r="E11" s="269" t="s">
        <v>356</v>
      </c>
      <c r="F11" s="269" t="s">
        <v>119</v>
      </c>
      <c r="G11" s="270" t="s">
        <v>62</v>
      </c>
      <c r="H11" s="90" t="s">
        <v>6</v>
      </c>
      <c r="I11" s="325"/>
      <c r="J11" s="325"/>
      <c r="K11" s="325"/>
    </row>
    <row r="12" spans="1:11" x14ac:dyDescent="0.25">
      <c r="A12" s="90"/>
      <c r="B12" s="90"/>
      <c r="C12" s="90"/>
      <c r="D12" s="90"/>
      <c r="E12" s="90" t="s">
        <v>4</v>
      </c>
      <c r="F12" s="90" t="s">
        <v>7</v>
      </c>
      <c r="G12" s="90"/>
      <c r="H12" s="90"/>
      <c r="I12" s="325"/>
      <c r="J12" s="325"/>
      <c r="K12" s="325"/>
    </row>
    <row r="13" spans="1:11" x14ac:dyDescent="0.25">
      <c r="A13" s="90"/>
      <c r="B13" s="90"/>
      <c r="C13" s="90"/>
      <c r="D13" s="90">
        <v>2016</v>
      </c>
      <c r="E13" s="90">
        <v>2017</v>
      </c>
      <c r="F13" s="90">
        <v>2017</v>
      </c>
      <c r="G13" s="90"/>
      <c r="H13" s="90">
        <v>2018</v>
      </c>
      <c r="I13" s="325"/>
      <c r="J13" s="325"/>
      <c r="K13" s="325"/>
    </row>
    <row r="14" spans="1:11" x14ac:dyDescent="0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5"/>
      <c r="J14" s="325"/>
      <c r="K14" s="325"/>
    </row>
    <row r="15" spans="1:11" x14ac:dyDescent="0.25">
      <c r="A15" s="331"/>
      <c r="B15" s="331"/>
      <c r="C15" s="333" t="s">
        <v>473</v>
      </c>
      <c r="D15" s="334"/>
      <c r="F15" s="334"/>
      <c r="G15" s="334"/>
      <c r="H15" s="336"/>
      <c r="I15" s="325"/>
      <c r="J15" s="325"/>
      <c r="K15" s="325"/>
    </row>
    <row r="16" spans="1:11" x14ac:dyDescent="0.25">
      <c r="A16" s="331"/>
      <c r="B16" s="331"/>
      <c r="C16" s="333"/>
      <c r="D16" s="334"/>
      <c r="E16" s="335"/>
      <c r="F16" s="334"/>
      <c r="G16" s="334"/>
      <c r="H16" s="336"/>
      <c r="I16" s="325"/>
      <c r="J16" s="325"/>
      <c r="K16" s="325"/>
    </row>
    <row r="17" spans="1:13" x14ac:dyDescent="0.25">
      <c r="A17" s="331"/>
      <c r="B17" s="331"/>
      <c r="C17" s="333" t="s">
        <v>472</v>
      </c>
      <c r="D17" s="334"/>
      <c r="E17" s="335"/>
      <c r="F17" s="334"/>
      <c r="G17" s="334"/>
      <c r="H17" s="336"/>
      <c r="I17" s="325"/>
      <c r="J17" s="325"/>
      <c r="K17" s="325"/>
    </row>
    <row r="18" spans="1:13" x14ac:dyDescent="0.25">
      <c r="A18" s="90"/>
      <c r="B18" s="90"/>
      <c r="C18" s="380" t="s">
        <v>471</v>
      </c>
      <c r="D18" s="93"/>
      <c r="E18" s="93"/>
      <c r="F18" s="93"/>
      <c r="G18" s="93"/>
      <c r="H18" s="383"/>
      <c r="I18" s="325"/>
      <c r="J18" s="325"/>
      <c r="K18" s="325"/>
    </row>
    <row r="19" spans="1:13" x14ac:dyDescent="0.25">
      <c r="A19" s="90"/>
      <c r="B19" s="90"/>
      <c r="C19" s="380" t="s">
        <v>470</v>
      </c>
      <c r="D19" s="93"/>
      <c r="E19" s="93">
        <v>24199.200000000001</v>
      </c>
      <c r="F19" s="93">
        <f>G19-E19</f>
        <v>800</v>
      </c>
      <c r="G19" s="93">
        <v>24999.200000000001</v>
      </c>
      <c r="H19" s="100">
        <v>25000</v>
      </c>
      <c r="I19" s="325"/>
      <c r="J19" s="325"/>
      <c r="K19" s="325"/>
    </row>
    <row r="20" spans="1:13" x14ac:dyDescent="0.25">
      <c r="A20" s="90"/>
      <c r="B20" s="90"/>
      <c r="C20" s="380" t="s">
        <v>469</v>
      </c>
      <c r="D20" s="93"/>
      <c r="E20" s="93"/>
      <c r="F20" s="93">
        <f>G20-E20</f>
        <v>8610</v>
      </c>
      <c r="G20" s="93">
        <v>8610</v>
      </c>
      <c r="H20" s="100">
        <v>10000</v>
      </c>
      <c r="I20" s="325"/>
      <c r="J20" s="325"/>
      <c r="K20" s="325"/>
    </row>
    <row r="21" spans="1:13" x14ac:dyDescent="0.25">
      <c r="A21" s="90"/>
      <c r="B21" s="90"/>
      <c r="C21" s="380" t="s">
        <v>468</v>
      </c>
      <c r="D21" s="93"/>
      <c r="E21" s="93">
        <v>2940</v>
      </c>
      <c r="F21" s="93">
        <f>G21-E21</f>
        <v>11446.95</v>
      </c>
      <c r="G21" s="93">
        <v>14386.95</v>
      </c>
      <c r="H21" s="100">
        <v>15000</v>
      </c>
      <c r="I21" s="325"/>
      <c r="J21" s="325"/>
      <c r="K21" s="325"/>
    </row>
    <row r="22" spans="1:13" x14ac:dyDescent="0.25">
      <c r="A22" s="90"/>
      <c r="B22" s="90"/>
      <c r="C22" s="380"/>
      <c r="D22" s="93"/>
      <c r="E22" s="93"/>
      <c r="F22" s="93"/>
      <c r="G22" s="93"/>
      <c r="H22" s="71">
        <f>SUM(H19:H21)</f>
        <v>50000</v>
      </c>
      <c r="I22" s="325"/>
      <c r="J22" s="325"/>
      <c r="K22" s="325"/>
    </row>
    <row r="23" spans="1:13" x14ac:dyDescent="0.25">
      <c r="A23" s="90"/>
      <c r="B23" s="90"/>
      <c r="C23" s="380" t="s">
        <v>467</v>
      </c>
      <c r="D23" s="93"/>
      <c r="E23" s="93"/>
      <c r="F23" s="93"/>
      <c r="G23" s="93"/>
      <c r="H23" s="383"/>
      <c r="I23" s="325"/>
      <c r="J23" s="325"/>
      <c r="K23" s="325"/>
    </row>
    <row r="24" spans="1:13" x14ac:dyDescent="0.25">
      <c r="A24" s="90"/>
      <c r="B24" s="90"/>
      <c r="C24" s="380" t="s">
        <v>466</v>
      </c>
      <c r="D24" s="614">
        <v>20005</v>
      </c>
      <c r="E24" s="614"/>
      <c r="F24" s="614"/>
      <c r="G24" s="93"/>
      <c r="H24" s="100">
        <v>4000</v>
      </c>
      <c r="I24" s="325"/>
      <c r="J24" s="325"/>
      <c r="K24" s="325"/>
    </row>
    <row r="25" spans="1:13" x14ac:dyDescent="0.25">
      <c r="A25" s="90"/>
      <c r="B25" s="90"/>
      <c r="C25" s="380" t="s">
        <v>465</v>
      </c>
      <c r="D25" s="614"/>
      <c r="E25" s="614"/>
      <c r="F25" s="614"/>
      <c r="G25" s="93"/>
      <c r="H25" s="100">
        <v>16000</v>
      </c>
      <c r="I25" s="325"/>
      <c r="J25" s="325"/>
      <c r="K25" s="325"/>
    </row>
    <row r="26" spans="1:13" x14ac:dyDescent="0.25">
      <c r="A26" s="90"/>
      <c r="B26" s="90"/>
      <c r="C26" s="380"/>
      <c r="D26" s="93"/>
      <c r="E26" s="93"/>
      <c r="F26" s="93"/>
      <c r="G26" s="93"/>
      <c r="H26" s="383">
        <f>SUM(H24:H25)</f>
        <v>20000</v>
      </c>
      <c r="I26" s="325"/>
      <c r="J26" s="325"/>
      <c r="K26" s="325"/>
    </row>
    <row r="27" spans="1:13" x14ac:dyDescent="0.25">
      <c r="A27" s="90"/>
      <c r="B27" s="90"/>
      <c r="C27" s="380" t="s">
        <v>464</v>
      </c>
      <c r="D27" s="93"/>
      <c r="E27" s="93"/>
      <c r="F27" s="93"/>
      <c r="G27" s="93"/>
      <c r="H27" s="100"/>
      <c r="I27" s="325"/>
      <c r="J27" s="325"/>
      <c r="K27" s="325"/>
    </row>
    <row r="28" spans="1:13" x14ac:dyDescent="0.25">
      <c r="A28" s="347"/>
      <c r="B28" s="134"/>
      <c r="C28" s="348" t="s">
        <v>348</v>
      </c>
      <c r="D28" s="349">
        <f>SUM(D15:D27)</f>
        <v>20005</v>
      </c>
      <c r="E28" s="349">
        <f>SUM(E16:E27)</f>
        <v>27139.200000000001</v>
      </c>
      <c r="F28" s="349">
        <f>SUM(F19:F27)</f>
        <v>20856.95</v>
      </c>
      <c r="G28" s="349">
        <f>SUM(G19:G27)</f>
        <v>47996.149999999994</v>
      </c>
      <c r="H28" s="69">
        <f>H26+H22</f>
        <v>70000</v>
      </c>
      <c r="I28" s="325"/>
      <c r="J28" s="325"/>
      <c r="K28" s="357"/>
    </row>
    <row r="29" spans="1:13" x14ac:dyDescent="0.25">
      <c r="A29" s="347"/>
      <c r="B29" s="134"/>
      <c r="C29" s="348" t="s">
        <v>405</v>
      </c>
      <c r="D29" s="349">
        <v>0</v>
      </c>
      <c r="E29" s="349">
        <v>0</v>
      </c>
      <c r="F29" s="349"/>
      <c r="G29" s="349"/>
      <c r="H29" s="364">
        <v>0</v>
      </c>
      <c r="I29" s="325"/>
      <c r="J29" s="325"/>
      <c r="K29" s="357"/>
    </row>
    <row r="30" spans="1:13" x14ac:dyDescent="0.25">
      <c r="A30" s="36"/>
      <c r="B30" s="36"/>
      <c r="C30" s="36" t="s">
        <v>320</v>
      </c>
      <c r="D30" s="69">
        <f>D28+D29</f>
        <v>20005</v>
      </c>
      <c r="E30" s="69">
        <f>E28+E29</f>
        <v>27139.200000000001</v>
      </c>
      <c r="F30" s="69">
        <f>SUM(F28:F29)</f>
        <v>20856.95</v>
      </c>
      <c r="G30" s="69">
        <f>SUM(G28:G29)</f>
        <v>47996.149999999994</v>
      </c>
      <c r="H30" s="69">
        <f>SUM(H28:H29)</f>
        <v>70000</v>
      </c>
    </row>
    <row r="31" spans="1:13" x14ac:dyDescent="0.25">
      <c r="D31" s="136"/>
      <c r="E31" s="136"/>
      <c r="F31" s="136"/>
      <c r="G31" s="136"/>
      <c r="H31" s="136"/>
      <c r="M31" s="160"/>
    </row>
    <row r="32" spans="1:13" ht="21" x14ac:dyDescent="0.35">
      <c r="A32" s="608" t="s">
        <v>463</v>
      </c>
      <c r="B32" s="608"/>
      <c r="C32" s="608"/>
      <c r="D32" s="608"/>
      <c r="E32" s="608"/>
      <c r="F32" s="608"/>
      <c r="G32" s="608"/>
      <c r="H32" s="608"/>
      <c r="I32" s="158"/>
      <c r="K32" s="160"/>
    </row>
    <row r="33" spans="1:9" ht="21" x14ac:dyDescent="0.35">
      <c r="A33" s="158"/>
      <c r="B33" s="158"/>
      <c r="C33" s="361"/>
      <c r="E33" s="361"/>
      <c r="H33" s="361"/>
      <c r="I33" s="158"/>
    </row>
    <row r="34" spans="1:9" ht="21" x14ac:dyDescent="0.35">
      <c r="A34" s="158"/>
      <c r="B34" s="158"/>
      <c r="C34" s="361"/>
      <c r="E34" s="361"/>
      <c r="H34" s="361"/>
      <c r="I34" s="158"/>
    </row>
    <row r="35" spans="1:9" ht="21" x14ac:dyDescent="0.35">
      <c r="A35" s="382" t="s">
        <v>462</v>
      </c>
      <c r="B35" s="382"/>
      <c r="C35" s="382"/>
      <c r="D35" s="382"/>
      <c r="E35" s="382"/>
      <c r="F35" s="382"/>
      <c r="G35" s="382"/>
      <c r="H35" s="382"/>
      <c r="I35" s="158"/>
    </row>
    <row r="36" spans="1:9" ht="21" x14ac:dyDescent="0.35">
      <c r="A36" s="608" t="s">
        <v>461</v>
      </c>
      <c r="B36" s="608"/>
      <c r="C36" s="608"/>
      <c r="D36" s="608"/>
      <c r="E36" s="608"/>
      <c r="F36" s="608"/>
      <c r="G36" s="608"/>
      <c r="H36" s="608"/>
      <c r="I36" s="158"/>
    </row>
    <row r="37" spans="1:9" ht="21" x14ac:dyDescent="0.35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 ht="21" x14ac:dyDescent="0.35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 ht="21" x14ac:dyDescent="0.35">
      <c r="A39" s="158"/>
      <c r="B39" s="158"/>
      <c r="C39" s="158"/>
      <c r="D39" s="158"/>
      <c r="E39" s="158"/>
      <c r="F39" s="158"/>
      <c r="G39" s="158"/>
      <c r="H39" s="158"/>
      <c r="I39" s="158"/>
    </row>
    <row r="40" spans="1:9" ht="21" x14ac:dyDescent="0.35">
      <c r="A40" s="158"/>
      <c r="B40" s="158"/>
      <c r="C40" s="158"/>
      <c r="D40" s="158"/>
      <c r="E40" s="158"/>
      <c r="F40" s="158"/>
      <c r="G40" s="158"/>
      <c r="H40" s="158"/>
      <c r="I40" s="158"/>
    </row>
  </sheetData>
  <sheetProtection password="CCFC" sheet="1" objects="1" scenarios="1" selectLockedCells="1" selectUnlockedCells="1"/>
  <mergeCells count="8">
    <mergeCell ref="A36:H36"/>
    <mergeCell ref="D24:D25"/>
    <mergeCell ref="E24:E25"/>
    <mergeCell ref="F24:F25"/>
    <mergeCell ref="A3:H3"/>
    <mergeCell ref="A4:H4"/>
    <mergeCell ref="E10:F10"/>
    <mergeCell ref="A32:H3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25" workbookViewId="0">
      <selection activeCell="B46" sqref="B46"/>
    </sheetView>
  </sheetViews>
  <sheetFormatPr defaultRowHeight="15" x14ac:dyDescent="0.25"/>
  <cols>
    <col min="1" max="1" width="10.140625" style="137" customWidth="1"/>
    <col min="2" max="2" width="9.7109375" style="137" customWidth="1"/>
    <col min="3" max="3" width="42.7109375" style="137" bestFit="1" customWidth="1"/>
    <col min="4" max="4" width="12.7109375" style="137" customWidth="1"/>
    <col min="5" max="5" width="13.28515625" style="137" bestFit="1" customWidth="1"/>
    <col min="6" max="6" width="14.7109375" style="137" customWidth="1"/>
    <col min="7" max="7" width="13.7109375" style="137" customWidth="1"/>
    <col min="8" max="8" width="14.140625" style="137" customWidth="1"/>
    <col min="9" max="9" width="13.85546875" style="137" bestFit="1" customWidth="1"/>
    <col min="10" max="10" width="9.140625" style="137"/>
    <col min="11" max="11" width="14.28515625" style="137" bestFit="1" customWidth="1"/>
    <col min="12" max="12" width="9.140625" style="137"/>
    <col min="13" max="13" width="14.28515625" style="137" bestFit="1" customWidth="1"/>
    <col min="14" max="16384" width="9.140625" style="137"/>
  </cols>
  <sheetData>
    <row r="1" spans="1:11" x14ac:dyDescent="0.25">
      <c r="A1" s="137" t="s">
        <v>366</v>
      </c>
      <c r="H1" s="137" t="s">
        <v>365</v>
      </c>
    </row>
    <row r="3" spans="1:11" ht="21" x14ac:dyDescent="0.35">
      <c r="A3" s="586" t="s">
        <v>364</v>
      </c>
      <c r="B3" s="586"/>
      <c r="C3" s="586"/>
      <c r="D3" s="586"/>
      <c r="E3" s="586"/>
      <c r="F3" s="586"/>
      <c r="G3" s="586"/>
      <c r="H3" s="586"/>
      <c r="I3" s="323"/>
      <c r="J3" s="323"/>
      <c r="K3" s="323"/>
    </row>
    <row r="4" spans="1:11" ht="21" x14ac:dyDescent="0.35">
      <c r="A4" s="586" t="s">
        <v>401</v>
      </c>
      <c r="B4" s="586"/>
      <c r="C4" s="586"/>
      <c r="D4" s="586"/>
      <c r="E4" s="586"/>
      <c r="F4" s="586"/>
      <c r="G4" s="586"/>
      <c r="H4" s="586"/>
    </row>
    <row r="5" spans="1:11" ht="21" x14ac:dyDescent="0.35">
      <c r="A5" s="268"/>
      <c r="B5" s="268"/>
      <c r="C5" s="268"/>
      <c r="D5" s="268"/>
      <c r="E5" s="268"/>
      <c r="F5" s="268"/>
      <c r="G5" s="268"/>
      <c r="H5" s="268"/>
    </row>
    <row r="6" spans="1:11" ht="21" x14ac:dyDescent="0.35">
      <c r="A6" s="153" t="s">
        <v>204</v>
      </c>
      <c r="B6" s="268"/>
      <c r="C6" s="268"/>
      <c r="D6" s="268"/>
      <c r="E6" s="268"/>
      <c r="F6" s="268"/>
      <c r="G6" s="268"/>
      <c r="H6" s="268"/>
    </row>
    <row r="7" spans="1:11" ht="21" x14ac:dyDescent="0.35">
      <c r="A7" s="152" t="s">
        <v>205</v>
      </c>
      <c r="B7" s="268"/>
      <c r="C7" s="268"/>
      <c r="D7" s="268"/>
      <c r="E7" s="268"/>
      <c r="F7" s="268"/>
      <c r="G7" s="268"/>
      <c r="H7" s="268"/>
    </row>
    <row r="8" spans="1:11" ht="21" x14ac:dyDescent="0.35">
      <c r="A8" s="152" t="s">
        <v>85</v>
      </c>
      <c r="B8" s="268"/>
      <c r="C8" s="268"/>
      <c r="D8" s="268"/>
      <c r="E8" s="268"/>
      <c r="F8" s="268"/>
      <c r="G8" s="268"/>
      <c r="H8" s="268"/>
    </row>
    <row r="9" spans="1:11" ht="21" x14ac:dyDescent="0.35">
      <c r="A9" s="158"/>
      <c r="B9" s="158"/>
      <c r="C9" s="158"/>
      <c r="D9" s="158"/>
      <c r="E9" s="158"/>
      <c r="F9" s="158"/>
      <c r="G9" s="158"/>
      <c r="H9" s="158"/>
    </row>
    <row r="10" spans="1:11" ht="45" x14ac:dyDescent="0.25">
      <c r="A10" s="269" t="s">
        <v>360</v>
      </c>
      <c r="B10" s="89" t="s">
        <v>359</v>
      </c>
      <c r="C10" s="89" t="s">
        <v>358</v>
      </c>
      <c r="D10" s="89" t="s">
        <v>2</v>
      </c>
      <c r="E10" s="610" t="s">
        <v>357</v>
      </c>
      <c r="F10" s="610"/>
      <c r="G10" s="89"/>
      <c r="H10" s="89" t="s">
        <v>3</v>
      </c>
      <c r="I10" s="325"/>
      <c r="J10" s="325"/>
      <c r="K10" s="325"/>
    </row>
    <row r="11" spans="1:11" ht="45" x14ac:dyDescent="0.25">
      <c r="A11" s="90"/>
      <c r="B11" s="90"/>
      <c r="C11" s="90"/>
      <c r="D11" s="90" t="s">
        <v>4</v>
      </c>
      <c r="E11" s="269" t="s">
        <v>356</v>
      </c>
      <c r="F11" s="269" t="s">
        <v>119</v>
      </c>
      <c r="G11" s="270" t="s">
        <v>62</v>
      </c>
      <c r="H11" s="90" t="s">
        <v>6</v>
      </c>
      <c r="I11" s="325"/>
      <c r="J11" s="325"/>
      <c r="K11" s="325"/>
    </row>
    <row r="12" spans="1:11" x14ac:dyDescent="0.25">
      <c r="A12" s="90"/>
      <c r="B12" s="90"/>
      <c r="C12" s="90"/>
      <c r="D12" s="90"/>
      <c r="E12" s="90" t="s">
        <v>4</v>
      </c>
      <c r="F12" s="90" t="s">
        <v>7</v>
      </c>
      <c r="G12" s="90"/>
      <c r="H12" s="90"/>
      <c r="I12" s="325"/>
      <c r="J12" s="325"/>
      <c r="K12" s="325"/>
    </row>
    <row r="13" spans="1:11" x14ac:dyDescent="0.25">
      <c r="A13" s="90"/>
      <c r="B13" s="90"/>
      <c r="C13" s="90"/>
      <c r="D13" s="90">
        <v>2016</v>
      </c>
      <c r="E13" s="90">
        <v>2017</v>
      </c>
      <c r="F13" s="90">
        <v>2017</v>
      </c>
      <c r="G13" s="90"/>
      <c r="H13" s="90">
        <v>2018</v>
      </c>
      <c r="I13" s="325"/>
      <c r="J13" s="325"/>
      <c r="K13" s="325"/>
    </row>
    <row r="14" spans="1:11" x14ac:dyDescent="0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5"/>
      <c r="J14" s="325"/>
      <c r="K14" s="325"/>
    </row>
    <row r="15" spans="1:11" x14ac:dyDescent="0.25">
      <c r="A15" s="331"/>
      <c r="B15" s="331"/>
      <c r="C15" s="333" t="s">
        <v>489</v>
      </c>
      <c r="D15" s="334"/>
      <c r="E15" s="334">
        <v>578746.79</v>
      </c>
      <c r="F15" s="334">
        <f>G15-E15</f>
        <v>195278.59999999998</v>
      </c>
      <c r="G15" s="334">
        <v>774025.39</v>
      </c>
      <c r="H15" s="336"/>
      <c r="I15" s="325"/>
      <c r="J15" s="325"/>
      <c r="K15" s="325"/>
    </row>
    <row r="16" spans="1:11" x14ac:dyDescent="0.25">
      <c r="A16" s="331"/>
      <c r="B16" s="331"/>
      <c r="C16" s="333" t="s">
        <v>421</v>
      </c>
      <c r="D16" s="334"/>
      <c r="E16" s="334"/>
      <c r="F16" s="334"/>
      <c r="G16" s="334"/>
      <c r="H16" s="336"/>
      <c r="I16" s="325"/>
      <c r="J16" s="325"/>
      <c r="K16" s="325"/>
    </row>
    <row r="17" spans="1:11" x14ac:dyDescent="0.25">
      <c r="A17" s="331"/>
      <c r="B17" s="331"/>
      <c r="C17" s="333" t="s">
        <v>488</v>
      </c>
      <c r="D17" s="334"/>
      <c r="E17" s="334"/>
      <c r="F17" s="334"/>
      <c r="G17" s="334"/>
      <c r="H17" s="336"/>
      <c r="I17" s="325"/>
      <c r="J17" s="325"/>
      <c r="K17" s="325"/>
    </row>
    <row r="18" spans="1:11" x14ac:dyDescent="0.25">
      <c r="A18" s="331"/>
      <c r="B18" s="331"/>
      <c r="C18" s="333" t="s">
        <v>485</v>
      </c>
      <c r="D18" s="334"/>
      <c r="E18" s="334"/>
      <c r="F18" s="334"/>
      <c r="G18" s="334"/>
      <c r="H18" s="336"/>
      <c r="I18" s="325"/>
      <c r="J18" s="325"/>
      <c r="K18" s="325"/>
    </row>
    <row r="19" spans="1:11" x14ac:dyDescent="0.25">
      <c r="A19" s="331"/>
      <c r="B19" s="331"/>
      <c r="C19" s="333" t="s">
        <v>484</v>
      </c>
      <c r="D19" s="334"/>
      <c r="E19" s="334"/>
      <c r="F19" s="334"/>
      <c r="G19" s="334"/>
      <c r="H19" s="336"/>
      <c r="I19" s="325"/>
      <c r="J19" s="325"/>
      <c r="K19" s="325"/>
    </row>
    <row r="20" spans="1:11" x14ac:dyDescent="0.25">
      <c r="A20" s="331"/>
      <c r="B20" s="331"/>
      <c r="C20" s="333"/>
      <c r="D20" s="334"/>
      <c r="E20" s="334"/>
      <c r="F20" s="334"/>
      <c r="G20" s="334"/>
      <c r="H20" s="366"/>
      <c r="I20" s="325"/>
      <c r="J20" s="325"/>
      <c r="K20" s="325"/>
    </row>
    <row r="21" spans="1:11" x14ac:dyDescent="0.25">
      <c r="A21" s="331"/>
      <c r="B21" s="331"/>
      <c r="C21" s="333" t="s">
        <v>487</v>
      </c>
      <c r="D21" s="334"/>
      <c r="E21" s="334">
        <v>74262.880000000005</v>
      </c>
      <c r="F21" s="334">
        <f>G21-E21</f>
        <v>55900</v>
      </c>
      <c r="G21" s="355">
        <v>130162.88</v>
      </c>
      <c r="H21" s="365"/>
      <c r="I21" s="325"/>
      <c r="J21" s="325"/>
      <c r="K21" s="325"/>
    </row>
    <row r="22" spans="1:11" x14ac:dyDescent="0.25">
      <c r="A22" s="331"/>
      <c r="B22" s="331"/>
      <c r="C22" s="333" t="s">
        <v>426</v>
      </c>
      <c r="D22" s="334"/>
      <c r="E22" s="334"/>
      <c r="F22" s="334"/>
      <c r="G22" s="334"/>
      <c r="H22" s="336">
        <v>134640</v>
      </c>
      <c r="I22" s="325"/>
      <c r="J22" s="325"/>
      <c r="K22" s="325"/>
    </row>
    <row r="23" spans="1:11" x14ac:dyDescent="0.25">
      <c r="A23" s="331"/>
      <c r="B23" s="331"/>
      <c r="C23" s="333" t="s">
        <v>485</v>
      </c>
      <c r="D23" s="334"/>
      <c r="E23" s="334"/>
      <c r="F23" s="334"/>
      <c r="G23" s="334"/>
      <c r="H23" s="336">
        <f>15000-9640</f>
        <v>5360</v>
      </c>
      <c r="I23" s="325"/>
      <c r="J23" s="325"/>
      <c r="K23" s="325"/>
    </row>
    <row r="24" spans="1:11" x14ac:dyDescent="0.25">
      <c r="A24" s="331"/>
      <c r="B24" s="331"/>
      <c r="C24" s="333" t="s">
        <v>484</v>
      </c>
      <c r="D24" s="334"/>
      <c r="E24" s="334"/>
      <c r="F24" s="334"/>
      <c r="G24" s="334"/>
      <c r="H24" s="336">
        <v>60000</v>
      </c>
      <c r="I24" s="325"/>
      <c r="J24" s="325"/>
      <c r="K24" s="325"/>
    </row>
    <row r="25" spans="1:11" x14ac:dyDescent="0.25">
      <c r="A25" s="331"/>
      <c r="B25" s="331"/>
      <c r="C25" s="333"/>
      <c r="D25" s="334"/>
      <c r="E25" s="334"/>
      <c r="F25" s="334"/>
      <c r="G25" s="93"/>
      <c r="H25" s="71">
        <f>SUM(H22:H24)</f>
        <v>200000</v>
      </c>
      <c r="I25" s="325"/>
      <c r="J25" s="325"/>
      <c r="K25" s="325"/>
    </row>
    <row r="26" spans="1:11" x14ac:dyDescent="0.25">
      <c r="A26" s="331"/>
      <c r="B26" s="331"/>
      <c r="C26" s="333" t="s">
        <v>486</v>
      </c>
      <c r="D26" s="334"/>
      <c r="E26" s="334">
        <v>49420</v>
      </c>
      <c r="F26" s="334">
        <f>G26-E26</f>
        <v>60327.75</v>
      </c>
      <c r="G26" s="93">
        <v>109747.75</v>
      </c>
      <c r="H26" s="370"/>
      <c r="I26" s="325"/>
      <c r="J26" s="325"/>
      <c r="K26" s="325"/>
    </row>
    <row r="27" spans="1:11" x14ac:dyDescent="0.25">
      <c r="A27" s="331"/>
      <c r="B27" s="331"/>
      <c r="C27" s="333" t="s">
        <v>426</v>
      </c>
      <c r="D27" s="334"/>
      <c r="E27" s="334"/>
      <c r="F27" s="334"/>
      <c r="G27" s="355"/>
      <c r="H27" s="365">
        <v>60000</v>
      </c>
      <c r="I27" s="325"/>
      <c r="J27" s="325"/>
      <c r="K27" s="325"/>
    </row>
    <row r="28" spans="1:11" x14ac:dyDescent="0.25">
      <c r="A28" s="331"/>
      <c r="B28" s="331"/>
      <c r="C28" s="333" t="s">
        <v>485</v>
      </c>
      <c r="D28" s="334"/>
      <c r="E28" s="335"/>
      <c r="F28" s="334"/>
      <c r="G28" s="334"/>
      <c r="H28" s="336">
        <v>30000</v>
      </c>
      <c r="I28" s="325"/>
      <c r="J28" s="325"/>
      <c r="K28" s="325"/>
    </row>
    <row r="29" spans="1:11" x14ac:dyDescent="0.25">
      <c r="A29" s="331"/>
      <c r="B29" s="331"/>
      <c r="C29" s="333" t="s">
        <v>484</v>
      </c>
      <c r="D29" s="334"/>
      <c r="E29" s="334"/>
      <c r="F29" s="334"/>
      <c r="G29" s="369"/>
      <c r="H29" s="369">
        <v>20000</v>
      </c>
      <c r="I29" s="325"/>
      <c r="J29" s="325"/>
      <c r="K29" s="325"/>
    </row>
    <row r="30" spans="1:11" x14ac:dyDescent="0.25">
      <c r="A30" s="331"/>
      <c r="B30" s="331"/>
      <c r="C30" s="333"/>
      <c r="D30" s="334"/>
      <c r="E30" s="334"/>
      <c r="F30" s="334"/>
      <c r="G30" s="93"/>
      <c r="H30" s="349">
        <f>SUM(H27:H29)</f>
        <v>110000</v>
      </c>
      <c r="I30" s="325"/>
      <c r="J30" s="325"/>
      <c r="K30" s="325"/>
    </row>
    <row r="31" spans="1:11" x14ac:dyDescent="0.25">
      <c r="A31" s="331"/>
      <c r="B31" s="331"/>
      <c r="C31" s="333" t="s">
        <v>483</v>
      </c>
      <c r="D31" s="334"/>
      <c r="E31" s="334"/>
      <c r="F31" s="334"/>
      <c r="G31" s="355"/>
      <c r="H31" s="365"/>
      <c r="I31" s="325"/>
      <c r="J31" s="325"/>
      <c r="K31" s="325"/>
    </row>
    <row r="32" spans="1:11" x14ac:dyDescent="0.25">
      <c r="A32" s="90"/>
      <c r="B32" s="90"/>
      <c r="C32" s="380" t="s">
        <v>482</v>
      </c>
      <c r="D32" s="395"/>
      <c r="E32" s="395"/>
      <c r="F32" s="395"/>
      <c r="G32" s="395"/>
      <c r="H32" s="100"/>
      <c r="I32" s="325"/>
      <c r="J32" s="325"/>
      <c r="K32" s="325"/>
    </row>
    <row r="33" spans="1:13" x14ac:dyDescent="0.25">
      <c r="A33" s="90"/>
      <c r="B33" s="90"/>
      <c r="C33" s="380" t="s">
        <v>409</v>
      </c>
      <c r="D33" s="395"/>
      <c r="E33" s="395"/>
      <c r="F33" s="395"/>
      <c r="G33" s="395"/>
      <c r="H33" s="100"/>
      <c r="I33" s="325"/>
      <c r="J33" s="325"/>
      <c r="K33" s="325"/>
    </row>
    <row r="34" spans="1:13" x14ac:dyDescent="0.25">
      <c r="A34" s="90"/>
      <c r="B34" s="90"/>
      <c r="C34" s="380" t="s">
        <v>481</v>
      </c>
      <c r="D34" s="395"/>
      <c r="E34" s="395"/>
      <c r="F34" s="395"/>
      <c r="G34" s="395"/>
      <c r="H34" s="100"/>
      <c r="I34" s="325"/>
      <c r="J34" s="325"/>
      <c r="K34" s="325"/>
    </row>
    <row r="35" spans="1:13" x14ac:dyDescent="0.25">
      <c r="A35" s="90"/>
      <c r="B35" s="90"/>
      <c r="C35" s="380" t="s">
        <v>151</v>
      </c>
      <c r="D35" s="93"/>
      <c r="E35" s="93"/>
      <c r="F35" s="93"/>
      <c r="G35" s="93"/>
      <c r="H35" s="383"/>
      <c r="I35" s="325"/>
      <c r="J35" s="325"/>
      <c r="K35" s="325"/>
    </row>
    <row r="36" spans="1:13" x14ac:dyDescent="0.25">
      <c r="A36" s="90"/>
      <c r="B36" s="90"/>
      <c r="C36" s="380" t="s">
        <v>480</v>
      </c>
      <c r="D36" s="93"/>
      <c r="E36" s="93">
        <v>57717</v>
      </c>
      <c r="F36" s="93">
        <f>G36-E36</f>
        <v>549970.23</v>
      </c>
      <c r="G36" s="93">
        <v>607687.23</v>
      </c>
      <c r="H36" s="383"/>
      <c r="I36" s="325"/>
      <c r="J36" s="325"/>
      <c r="K36" s="325"/>
    </row>
    <row r="37" spans="1:13" x14ac:dyDescent="0.25">
      <c r="A37" s="90"/>
      <c r="B37" s="90"/>
      <c r="C37" s="380" t="s">
        <v>479</v>
      </c>
      <c r="D37" s="93"/>
      <c r="E37" s="93"/>
      <c r="F37" s="93"/>
      <c r="G37" s="93"/>
      <c r="H37" s="100">
        <v>50000</v>
      </c>
      <c r="I37" s="325"/>
      <c r="J37" s="325"/>
      <c r="K37" s="325"/>
    </row>
    <row r="38" spans="1:13" x14ac:dyDescent="0.25">
      <c r="A38" s="90"/>
      <c r="B38" s="90"/>
      <c r="C38" s="393" t="s">
        <v>478</v>
      </c>
      <c r="D38" s="93"/>
      <c r="E38" s="93"/>
      <c r="F38" s="93"/>
      <c r="G38" s="93"/>
      <c r="H38" s="394">
        <v>800000</v>
      </c>
      <c r="I38" s="325"/>
      <c r="J38" s="325"/>
      <c r="K38" s="325"/>
    </row>
    <row r="39" spans="1:13" x14ac:dyDescent="0.25">
      <c r="A39" s="90"/>
      <c r="B39" s="90"/>
      <c r="C39" s="393"/>
      <c r="D39" s="93"/>
      <c r="E39" s="392"/>
      <c r="F39" s="344"/>
      <c r="G39" s="391"/>
      <c r="H39" s="390">
        <f>SUM(H37:H38)</f>
        <v>850000</v>
      </c>
      <c r="I39" s="325"/>
      <c r="J39" s="325"/>
      <c r="K39" s="325"/>
    </row>
    <row r="40" spans="1:13" x14ac:dyDescent="0.25">
      <c r="A40" s="90"/>
      <c r="B40" s="270"/>
      <c r="C40" s="389" t="s">
        <v>348</v>
      </c>
      <c r="D40" s="334">
        <f>SUM(D15:D39)</f>
        <v>0</v>
      </c>
      <c r="E40" s="388">
        <f>SUM(E15:E39)</f>
        <v>760146.67</v>
      </c>
      <c r="F40" s="349">
        <f>SUM(F15:F39)</f>
        <v>861476.58</v>
      </c>
      <c r="G40" s="349">
        <f>SUM(G15:G39)</f>
        <v>1621623.25</v>
      </c>
      <c r="H40" s="69">
        <f>H39+H35+H30+H25+H20</f>
        <v>1160000</v>
      </c>
      <c r="I40" s="325"/>
      <c r="J40" s="325"/>
      <c r="K40" s="325"/>
    </row>
    <row r="41" spans="1:13" x14ac:dyDescent="0.25">
      <c r="A41" s="90"/>
      <c r="B41" s="270"/>
      <c r="C41" s="367" t="s">
        <v>405</v>
      </c>
      <c r="D41" s="335">
        <v>0</v>
      </c>
      <c r="E41" s="388">
        <v>0</v>
      </c>
      <c r="F41" s="349"/>
      <c r="G41" s="349"/>
      <c r="H41" s="387" t="s">
        <v>477</v>
      </c>
      <c r="I41" s="325"/>
      <c r="J41" s="325"/>
      <c r="K41" s="325"/>
    </row>
    <row r="42" spans="1:13" x14ac:dyDescent="0.25">
      <c r="A42" s="386"/>
      <c r="B42" s="386"/>
      <c r="C42" s="386" t="s">
        <v>320</v>
      </c>
      <c r="D42" s="385">
        <f>D40+D41</f>
        <v>0</v>
      </c>
      <c r="E42" s="384">
        <f>E40+E41</f>
        <v>760146.67</v>
      </c>
      <c r="F42" s="69">
        <f>SUM(F40:F41)</f>
        <v>861476.58</v>
      </c>
      <c r="G42" s="69">
        <f>SUM(G40:G41)</f>
        <v>1621623.25</v>
      </c>
      <c r="H42" s="69">
        <f>SUM(H40:H41)</f>
        <v>1160000</v>
      </c>
    </row>
    <row r="43" spans="1:13" x14ac:dyDescent="0.25">
      <c r="D43" s="136"/>
      <c r="E43" s="136"/>
      <c r="F43" s="136"/>
      <c r="G43" s="136"/>
      <c r="H43" s="136"/>
      <c r="M43" s="160"/>
    </row>
    <row r="44" spans="1:13" ht="21" x14ac:dyDescent="0.35">
      <c r="A44" s="608" t="s">
        <v>476</v>
      </c>
      <c r="B44" s="608"/>
      <c r="C44" s="608"/>
      <c r="D44" s="608"/>
      <c r="E44" s="608"/>
      <c r="F44" s="608"/>
      <c r="G44" s="608"/>
      <c r="H44" s="608"/>
      <c r="I44" s="158"/>
      <c r="K44" s="160"/>
    </row>
    <row r="45" spans="1:13" ht="21" x14ac:dyDescent="0.35">
      <c r="A45" s="158"/>
      <c r="B45" s="158"/>
      <c r="C45" s="361"/>
      <c r="E45" s="361"/>
      <c r="H45" s="361"/>
      <c r="I45" s="158"/>
    </row>
    <row r="46" spans="1:13" ht="21" x14ac:dyDescent="0.35">
      <c r="A46" s="158"/>
      <c r="B46" s="158"/>
      <c r="C46" s="361"/>
      <c r="E46" s="361"/>
      <c r="H46" s="361"/>
      <c r="I46" s="158"/>
    </row>
    <row r="47" spans="1:13" ht="21" x14ac:dyDescent="0.35">
      <c r="A47" s="607" t="s">
        <v>475</v>
      </c>
      <c r="B47" s="607"/>
      <c r="C47" s="607"/>
      <c r="D47" s="607"/>
      <c r="E47" s="607"/>
      <c r="F47" s="607"/>
      <c r="G47" s="607"/>
      <c r="H47" s="607"/>
      <c r="I47" s="158"/>
    </row>
    <row r="48" spans="1:13" ht="21" x14ac:dyDescent="0.35">
      <c r="A48" s="608" t="s">
        <v>474</v>
      </c>
      <c r="B48" s="608"/>
      <c r="C48" s="608"/>
      <c r="D48" s="608"/>
      <c r="E48" s="608"/>
      <c r="F48" s="608"/>
      <c r="G48" s="608"/>
      <c r="H48" s="608"/>
      <c r="I48" s="158"/>
    </row>
    <row r="49" spans="1:9" ht="21" x14ac:dyDescent="0.35">
      <c r="A49" s="158"/>
      <c r="B49" s="158"/>
      <c r="C49" s="158"/>
      <c r="D49" s="158"/>
      <c r="E49" s="158"/>
      <c r="F49" s="158"/>
      <c r="G49" s="158"/>
      <c r="H49" s="158"/>
      <c r="I49" s="158"/>
    </row>
    <row r="50" spans="1:9" ht="21" x14ac:dyDescent="0.35">
      <c r="A50" s="158"/>
      <c r="B50" s="158"/>
      <c r="C50" s="158"/>
      <c r="D50" s="158"/>
      <c r="E50" s="158"/>
      <c r="F50" s="158"/>
      <c r="G50" s="158"/>
      <c r="H50" s="158"/>
      <c r="I50" s="158"/>
    </row>
    <row r="51" spans="1:9" ht="21" x14ac:dyDescent="0.35">
      <c r="A51" s="158"/>
      <c r="B51" s="158"/>
      <c r="C51" s="158"/>
      <c r="D51" s="158"/>
      <c r="E51" s="158"/>
      <c r="F51" s="158"/>
      <c r="G51" s="158"/>
      <c r="H51" s="158"/>
      <c r="I51" s="158"/>
    </row>
    <row r="52" spans="1:9" ht="21" x14ac:dyDescent="0.35">
      <c r="A52" s="158"/>
      <c r="B52" s="158"/>
      <c r="C52" s="158"/>
      <c r="D52" s="158"/>
      <c r="E52" s="158"/>
      <c r="F52" s="158"/>
      <c r="G52" s="158"/>
      <c r="H52" s="158"/>
      <c r="I52" s="158"/>
    </row>
  </sheetData>
  <sheetProtection password="CCFC" sheet="1" objects="1" scenarios="1" selectLockedCells="1" selectUnlockedCells="1"/>
  <mergeCells count="6">
    <mergeCell ref="A44:H44"/>
    <mergeCell ref="A47:H47"/>
    <mergeCell ref="A48:H48"/>
    <mergeCell ref="A3:H3"/>
    <mergeCell ref="A4:H4"/>
    <mergeCell ref="E10:F10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A31" sqref="A31"/>
    </sheetView>
  </sheetViews>
  <sheetFormatPr defaultRowHeight="15" x14ac:dyDescent="0.25"/>
  <cols>
    <col min="1" max="1" width="44.140625" customWidth="1"/>
    <col min="2" max="2" width="10.7109375" customWidth="1"/>
    <col min="3" max="3" width="11.85546875" customWidth="1"/>
    <col min="4" max="4" width="11.42578125" customWidth="1"/>
    <col min="5" max="5" width="11" customWidth="1"/>
    <col min="6" max="6" width="11.7109375" customWidth="1"/>
    <col min="7" max="7" width="15.140625" customWidth="1"/>
  </cols>
  <sheetData>
    <row r="1" spans="1:7" x14ac:dyDescent="0.25">
      <c r="A1" s="137" t="s">
        <v>366</v>
      </c>
      <c r="B1" s="137"/>
      <c r="C1" s="137"/>
      <c r="D1" s="137"/>
      <c r="E1" s="137"/>
      <c r="F1" s="137"/>
      <c r="G1" s="137" t="s">
        <v>365</v>
      </c>
    </row>
    <row r="2" spans="1:7" x14ac:dyDescent="0.25">
      <c r="A2" s="137"/>
      <c r="B2" s="137"/>
      <c r="C2" s="137"/>
      <c r="D2" s="137"/>
      <c r="E2" s="137"/>
      <c r="F2" s="137"/>
      <c r="G2" s="137"/>
    </row>
    <row r="3" spans="1:7" ht="21" x14ac:dyDescent="0.35">
      <c r="A3" s="586" t="s">
        <v>364</v>
      </c>
      <c r="B3" s="586"/>
      <c r="C3" s="586"/>
      <c r="D3" s="586"/>
      <c r="E3" s="586"/>
      <c r="F3" s="586"/>
      <c r="G3" s="586"/>
    </row>
    <row r="4" spans="1:7" ht="21" x14ac:dyDescent="0.35">
      <c r="A4" s="586" t="s">
        <v>401</v>
      </c>
      <c r="B4" s="586"/>
      <c r="C4" s="586"/>
      <c r="D4" s="586"/>
      <c r="E4" s="586"/>
      <c r="F4" s="586"/>
      <c r="G4" s="586"/>
    </row>
    <row r="6" spans="1:7" ht="21" x14ac:dyDescent="0.35">
      <c r="A6" s="155" t="s">
        <v>503</v>
      </c>
      <c r="B6" s="155"/>
      <c r="C6" s="155"/>
      <c r="D6" s="155"/>
      <c r="E6" s="155"/>
      <c r="F6" s="155"/>
    </row>
    <row r="7" spans="1:7" ht="21" x14ac:dyDescent="0.35">
      <c r="A7" s="406"/>
      <c r="B7" s="406"/>
      <c r="C7" s="406"/>
      <c r="D7" s="406"/>
      <c r="E7" s="406"/>
      <c r="F7" s="406"/>
      <c r="G7" s="405"/>
    </row>
    <row r="8" spans="1:7" x14ac:dyDescent="0.25">
      <c r="A8" s="404"/>
      <c r="B8" s="404"/>
      <c r="C8" s="261"/>
      <c r="D8" s="622" t="s">
        <v>8</v>
      </c>
      <c r="E8" s="623"/>
      <c r="F8" s="624"/>
      <c r="G8" s="265" t="s">
        <v>3</v>
      </c>
    </row>
    <row r="9" spans="1:7" ht="60" x14ac:dyDescent="0.25">
      <c r="A9" s="262" t="s">
        <v>0</v>
      </c>
      <c r="B9" s="264" t="s">
        <v>1</v>
      </c>
      <c r="C9" s="264" t="s">
        <v>502</v>
      </c>
      <c r="D9" s="402" t="s">
        <v>501</v>
      </c>
      <c r="E9" s="402" t="s">
        <v>500</v>
      </c>
      <c r="F9" s="264" t="s">
        <v>62</v>
      </c>
      <c r="G9" s="264" t="s">
        <v>499</v>
      </c>
    </row>
    <row r="10" spans="1:7" ht="15" customHeight="1" x14ac:dyDescent="0.25">
      <c r="A10" s="262"/>
      <c r="B10" s="403"/>
      <c r="C10" s="402">
        <v>2016</v>
      </c>
      <c r="D10" s="402">
        <v>2017</v>
      </c>
      <c r="E10" s="402">
        <v>2017</v>
      </c>
      <c r="F10" s="264"/>
      <c r="G10" s="402">
        <v>2018</v>
      </c>
    </row>
    <row r="11" spans="1:7" x14ac:dyDescent="0.25">
      <c r="A11" s="320">
        <v>1</v>
      </c>
      <c r="B11" s="401">
        <v>2</v>
      </c>
      <c r="C11" s="320">
        <v>3</v>
      </c>
      <c r="D11" s="320">
        <v>4</v>
      </c>
      <c r="E11" s="320">
        <v>5</v>
      </c>
      <c r="F11" s="320">
        <v>6</v>
      </c>
      <c r="G11" s="320">
        <v>7</v>
      </c>
    </row>
    <row r="12" spans="1:7" x14ac:dyDescent="0.25">
      <c r="A12" s="186" t="s">
        <v>14</v>
      </c>
      <c r="B12" s="186"/>
      <c r="C12" s="186"/>
      <c r="D12" s="212"/>
      <c r="E12" s="210"/>
      <c r="F12" s="210"/>
      <c r="G12" s="210"/>
    </row>
    <row r="13" spans="1:7" x14ac:dyDescent="0.25">
      <c r="A13" s="186" t="s">
        <v>498</v>
      </c>
      <c r="B13" s="31"/>
      <c r="C13" s="400">
        <v>356400</v>
      </c>
      <c r="D13" s="186"/>
      <c r="E13" s="210"/>
      <c r="F13" s="210"/>
      <c r="G13" s="209">
        <v>395200</v>
      </c>
    </row>
    <row r="14" spans="1:7" x14ac:dyDescent="0.25">
      <c r="A14" s="370" t="s">
        <v>497</v>
      </c>
      <c r="B14" s="31"/>
      <c r="C14" s="400">
        <v>422750</v>
      </c>
      <c r="D14" s="186"/>
      <c r="E14" s="210"/>
      <c r="F14" s="210"/>
      <c r="G14" s="209">
        <v>380000</v>
      </c>
    </row>
    <row r="15" spans="1:7" x14ac:dyDescent="0.25">
      <c r="A15" s="370" t="s">
        <v>496</v>
      </c>
      <c r="B15" s="31">
        <v>50299990</v>
      </c>
      <c r="C15" s="400"/>
      <c r="D15" s="186"/>
      <c r="E15" s="210"/>
      <c r="F15" s="210"/>
      <c r="G15" s="209">
        <v>25000</v>
      </c>
    </row>
    <row r="16" spans="1:7" x14ac:dyDescent="0.25">
      <c r="A16" s="370" t="s">
        <v>495</v>
      </c>
      <c r="B16" s="31"/>
      <c r="C16" s="400"/>
      <c r="D16" s="186"/>
      <c r="E16" s="210"/>
      <c r="F16" s="210"/>
      <c r="G16" s="209">
        <v>20000</v>
      </c>
    </row>
    <row r="17" spans="1:8" x14ac:dyDescent="0.25">
      <c r="A17" s="370" t="s">
        <v>494</v>
      </c>
      <c r="B17" s="31"/>
      <c r="C17" s="400"/>
      <c r="D17" s="186"/>
      <c r="E17" s="210"/>
      <c r="F17" s="210"/>
      <c r="G17" s="209">
        <v>25000</v>
      </c>
    </row>
    <row r="18" spans="1:8" x14ac:dyDescent="0.25">
      <c r="A18" s="370" t="s">
        <v>25</v>
      </c>
      <c r="B18" s="31">
        <v>50214020</v>
      </c>
      <c r="C18" s="400">
        <v>5000</v>
      </c>
      <c r="D18" s="186"/>
      <c r="E18" s="210"/>
      <c r="F18" s="186"/>
      <c r="G18" s="209">
        <v>5000</v>
      </c>
    </row>
    <row r="19" spans="1:8" x14ac:dyDescent="0.25">
      <c r="A19" s="370" t="s">
        <v>146</v>
      </c>
      <c r="B19" s="31"/>
      <c r="C19" s="400"/>
      <c r="D19" s="186"/>
      <c r="E19" s="210"/>
      <c r="F19" s="186"/>
      <c r="G19" s="70">
        <v>5000</v>
      </c>
    </row>
    <row r="20" spans="1:8" x14ac:dyDescent="0.25">
      <c r="A20" s="370" t="s">
        <v>147</v>
      </c>
      <c r="B20" s="31"/>
      <c r="C20" s="400"/>
      <c r="D20" s="186"/>
      <c r="E20" s="210"/>
      <c r="F20" s="186"/>
      <c r="G20" s="70">
        <v>5000</v>
      </c>
    </row>
    <row r="21" spans="1:8" x14ac:dyDescent="0.25">
      <c r="A21" s="399" t="s">
        <v>493</v>
      </c>
      <c r="B21" s="32"/>
      <c r="C21" s="398"/>
      <c r="D21" s="213"/>
      <c r="E21" s="214"/>
      <c r="F21" s="213"/>
      <c r="G21" s="211">
        <v>248045.71</v>
      </c>
    </row>
    <row r="22" spans="1:8" x14ac:dyDescent="0.25">
      <c r="A22" s="11" t="s">
        <v>62</v>
      </c>
      <c r="B22" s="397"/>
      <c r="C22" s="396">
        <f>SUM(C13:C21)</f>
        <v>784150</v>
      </c>
      <c r="D22" s="397"/>
      <c r="E22" s="397"/>
      <c r="F22" s="397"/>
      <c r="G22" s="396">
        <f>SUM(G13:G21)</f>
        <v>1108245.71</v>
      </c>
    </row>
    <row r="24" spans="1:8" ht="21" x14ac:dyDescent="0.35">
      <c r="A24" s="154" t="s">
        <v>68</v>
      </c>
      <c r="B24" s="154" t="s">
        <v>69</v>
      </c>
      <c r="C24" s="154"/>
      <c r="F24" s="154" t="s">
        <v>70</v>
      </c>
      <c r="G24" s="154"/>
    </row>
    <row r="25" spans="1:8" ht="21" x14ac:dyDescent="0.35">
      <c r="A25" s="154"/>
      <c r="B25" s="154"/>
      <c r="C25" s="154"/>
      <c r="F25" s="154"/>
      <c r="G25" s="154"/>
    </row>
    <row r="26" spans="1:8" ht="18.75" x14ac:dyDescent="0.3">
      <c r="A26" s="148" t="s">
        <v>491</v>
      </c>
      <c r="B26" s="148" t="s">
        <v>492</v>
      </c>
      <c r="C26" s="148"/>
      <c r="D26" s="148"/>
      <c r="E26" s="147"/>
      <c r="F26" s="148" t="s">
        <v>491</v>
      </c>
      <c r="G26" s="148"/>
      <c r="H26" s="147"/>
    </row>
    <row r="27" spans="1:8" ht="18.75" x14ac:dyDescent="0.3">
      <c r="A27" s="147" t="s">
        <v>490</v>
      </c>
      <c r="B27" s="147" t="s">
        <v>257</v>
      </c>
      <c r="C27" s="147"/>
      <c r="D27" s="147"/>
      <c r="E27" s="147"/>
      <c r="F27" s="147" t="s">
        <v>258</v>
      </c>
      <c r="G27" s="147"/>
      <c r="H27" s="147"/>
    </row>
  </sheetData>
  <sheetProtection password="CCFC" sheet="1" objects="1" scenarios="1" selectLockedCells="1" selectUnlockedCells="1"/>
  <mergeCells count="3">
    <mergeCell ref="A3:G3"/>
    <mergeCell ref="A4:G4"/>
    <mergeCell ref="D8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J87"/>
  <sheetViews>
    <sheetView topLeftCell="A44" workbookViewId="0">
      <selection activeCell="D82" sqref="D82"/>
    </sheetView>
  </sheetViews>
  <sheetFormatPr defaultRowHeight="15" x14ac:dyDescent="0.25"/>
  <cols>
    <col min="1" max="1" width="48.42578125" style="88" customWidth="1"/>
    <col min="2" max="2" width="10.140625" style="88" customWidth="1"/>
    <col min="3" max="3" width="14.42578125" style="88" customWidth="1"/>
    <col min="4" max="4" width="13.5703125" style="88" customWidth="1"/>
    <col min="5" max="5" width="13.42578125" style="88" customWidth="1"/>
    <col min="6" max="6" width="14.85546875" style="88" customWidth="1"/>
    <col min="7" max="7" width="14.5703125" style="88" customWidth="1"/>
    <col min="8" max="8" width="17.85546875" style="88" customWidth="1"/>
    <col min="9" max="9" width="13.7109375" style="88" bestFit="1" customWidth="1"/>
    <col min="10" max="16384" width="9.140625" style="88"/>
  </cols>
  <sheetData>
    <row r="1" spans="1:7" x14ac:dyDescent="0.25">
      <c r="A1" s="88" t="s">
        <v>9</v>
      </c>
      <c r="G1" s="137" t="s">
        <v>96</v>
      </c>
    </row>
    <row r="3" spans="1:7" ht="21" x14ac:dyDescent="0.35">
      <c r="A3" s="586" t="s">
        <v>10</v>
      </c>
      <c r="B3" s="586"/>
      <c r="C3" s="586"/>
      <c r="D3" s="586"/>
      <c r="E3" s="586"/>
      <c r="F3" s="586"/>
      <c r="G3" s="586"/>
    </row>
    <row r="4" spans="1:7" ht="21" x14ac:dyDescent="0.35">
      <c r="A4" s="586" t="s">
        <v>127</v>
      </c>
      <c r="B4" s="586"/>
      <c r="C4" s="586"/>
      <c r="D4" s="586"/>
      <c r="E4" s="586"/>
      <c r="F4" s="586"/>
      <c r="G4" s="586"/>
    </row>
    <row r="5" spans="1:7" ht="15.75" customHeight="1" x14ac:dyDescent="0.35">
      <c r="A5" s="159"/>
      <c r="B5" s="158"/>
      <c r="C5" s="158"/>
      <c r="D5" s="158"/>
      <c r="E5" s="158"/>
      <c r="F5" s="158"/>
      <c r="G5" s="158"/>
    </row>
    <row r="6" spans="1:7" ht="21" x14ac:dyDescent="0.35">
      <c r="A6" s="159" t="s">
        <v>126</v>
      </c>
      <c r="B6" s="158"/>
      <c r="C6" s="158"/>
      <c r="D6" s="158"/>
      <c r="E6" s="158"/>
      <c r="F6" s="158"/>
      <c r="G6" s="158"/>
    </row>
    <row r="7" spans="1:7" ht="21" x14ac:dyDescent="0.35">
      <c r="A7" s="158" t="s">
        <v>89</v>
      </c>
      <c r="B7" s="158"/>
      <c r="C7" s="158"/>
      <c r="D7" s="158"/>
      <c r="E7" s="158"/>
      <c r="F7" s="158"/>
      <c r="G7" s="158"/>
    </row>
    <row r="8" spans="1:7" ht="21" x14ac:dyDescent="0.35">
      <c r="A8" s="158" t="s">
        <v>73</v>
      </c>
      <c r="B8" s="158"/>
      <c r="C8" s="158"/>
      <c r="D8" s="158"/>
      <c r="E8" s="158"/>
      <c r="F8" s="158"/>
      <c r="G8" s="158"/>
    </row>
    <row r="9" spans="1:7" ht="9" customHeight="1" x14ac:dyDescent="0.25"/>
    <row r="10" spans="1:7" x14ac:dyDescent="0.25">
      <c r="A10" s="587" t="s">
        <v>0</v>
      </c>
      <c r="B10" s="589" t="s">
        <v>1</v>
      </c>
      <c r="C10" s="89" t="s">
        <v>2</v>
      </c>
      <c r="D10" s="587" t="s">
        <v>8</v>
      </c>
      <c r="E10" s="591"/>
      <c r="F10" s="592"/>
      <c r="G10" s="89" t="s">
        <v>3</v>
      </c>
    </row>
    <row r="11" spans="1:7" ht="45" x14ac:dyDescent="0.25">
      <c r="A11" s="588"/>
      <c r="B11" s="590"/>
      <c r="C11" s="90" t="s">
        <v>4</v>
      </c>
      <c r="D11" s="164" t="s">
        <v>102</v>
      </c>
      <c r="E11" s="164" t="s">
        <v>104</v>
      </c>
      <c r="F11" s="89" t="s">
        <v>5</v>
      </c>
      <c r="G11" s="90" t="s">
        <v>6</v>
      </c>
    </row>
    <row r="12" spans="1:7" x14ac:dyDescent="0.25">
      <c r="A12" s="91"/>
      <c r="B12" s="90"/>
      <c r="C12" s="90">
        <v>2016</v>
      </c>
      <c r="D12" s="90" t="s">
        <v>4</v>
      </c>
      <c r="E12" s="90" t="s">
        <v>7</v>
      </c>
      <c r="F12" s="90"/>
      <c r="G12" s="90"/>
    </row>
    <row r="13" spans="1:7" x14ac:dyDescent="0.25">
      <c r="A13" s="91"/>
      <c r="B13" s="90"/>
      <c r="C13" s="90"/>
      <c r="D13" s="90">
        <v>2017</v>
      </c>
      <c r="E13" s="90">
        <v>2017</v>
      </c>
      <c r="F13" s="90"/>
      <c r="G13" s="90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94" t="s">
        <v>14</v>
      </c>
      <c r="B15" s="90"/>
      <c r="C15" s="90"/>
      <c r="D15" s="90"/>
      <c r="E15" s="90"/>
      <c r="F15" s="90"/>
      <c r="G15" s="90"/>
    </row>
    <row r="16" spans="1:7" hidden="1" x14ac:dyDescent="0.25">
      <c r="A16" s="82" t="s">
        <v>53</v>
      </c>
      <c r="B16" s="90"/>
      <c r="C16" s="90"/>
      <c r="D16" s="90"/>
      <c r="E16" s="90"/>
      <c r="F16" s="90"/>
      <c r="G16" s="90"/>
    </row>
    <row r="17" spans="1:10" x14ac:dyDescent="0.25">
      <c r="A17" s="82" t="s">
        <v>136</v>
      </c>
      <c r="B17" s="90"/>
      <c r="C17" s="207"/>
      <c r="D17" s="176">
        <v>22400</v>
      </c>
      <c r="E17" s="176">
        <f>F17-D17</f>
        <v>25400</v>
      </c>
      <c r="F17" s="239">
        <v>47800</v>
      </c>
      <c r="G17" s="93">
        <v>65000</v>
      </c>
    </row>
    <row r="18" spans="1:10" x14ac:dyDescent="0.25">
      <c r="A18" s="82" t="s">
        <v>137</v>
      </c>
      <c r="B18" s="90"/>
      <c r="C18" s="207"/>
      <c r="D18" s="176"/>
      <c r="E18" s="239">
        <f t="shared" ref="E18:E62" si="0">F18-D18</f>
        <v>269390</v>
      </c>
      <c r="F18" s="239">
        <v>269390</v>
      </c>
      <c r="G18" s="93"/>
    </row>
    <row r="19" spans="1:10" x14ac:dyDescent="0.25">
      <c r="A19" s="175" t="s">
        <v>138</v>
      </c>
      <c r="B19" s="90"/>
      <c r="C19" s="207"/>
      <c r="D19" s="176">
        <v>287920</v>
      </c>
      <c r="E19" s="239">
        <f t="shared" si="0"/>
        <v>278610</v>
      </c>
      <c r="F19" s="239">
        <v>566530</v>
      </c>
      <c r="G19" s="93">
        <v>600000</v>
      </c>
    </row>
    <row r="20" spans="1:10" x14ac:dyDescent="0.25">
      <c r="A20" s="92" t="s">
        <v>139</v>
      </c>
      <c r="B20" s="162">
        <v>50102100</v>
      </c>
      <c r="C20" s="93">
        <v>100800</v>
      </c>
      <c r="D20" s="93">
        <v>42000</v>
      </c>
      <c r="E20" s="239">
        <f t="shared" si="0"/>
        <v>58800</v>
      </c>
      <c r="F20" s="239">
        <v>100800</v>
      </c>
      <c r="G20" s="93">
        <v>100800</v>
      </c>
    </row>
    <row r="21" spans="1:10" x14ac:dyDescent="0.25">
      <c r="A21" s="92" t="s">
        <v>140</v>
      </c>
      <c r="B21" s="162"/>
      <c r="C21" s="93">
        <v>69300</v>
      </c>
      <c r="D21" s="93">
        <v>31500</v>
      </c>
      <c r="E21" s="239">
        <f t="shared" si="0"/>
        <v>40500</v>
      </c>
      <c r="F21" s="239">
        <v>72000</v>
      </c>
      <c r="G21" s="93">
        <v>72000</v>
      </c>
    </row>
    <row r="22" spans="1:10" x14ac:dyDescent="0.25">
      <c r="A22" s="92" t="s">
        <v>141</v>
      </c>
      <c r="B22" s="162"/>
      <c r="C22" s="190"/>
      <c r="D22" s="93"/>
      <c r="E22" s="239">
        <f t="shared" si="0"/>
        <v>0</v>
      </c>
      <c r="F22" s="239"/>
      <c r="G22" s="93">
        <v>15000</v>
      </c>
    </row>
    <row r="23" spans="1:10" x14ac:dyDescent="0.25">
      <c r="A23" s="92" t="s">
        <v>142</v>
      </c>
      <c r="B23" s="162"/>
      <c r="C23" s="93"/>
      <c r="D23" s="93"/>
      <c r="E23" s="239">
        <f t="shared" si="0"/>
        <v>0</v>
      </c>
      <c r="F23" s="239"/>
      <c r="G23" s="93">
        <v>15000</v>
      </c>
    </row>
    <row r="24" spans="1:10" x14ac:dyDescent="0.25">
      <c r="A24" s="92" t="s">
        <v>143</v>
      </c>
      <c r="B24" s="162"/>
      <c r="C24" s="93">
        <v>121350</v>
      </c>
      <c r="D24" s="220">
        <v>43200</v>
      </c>
      <c r="E24" s="239">
        <f t="shared" si="0"/>
        <v>-43200</v>
      </c>
      <c r="F24" s="239"/>
      <c r="G24" s="93"/>
      <c r="I24" s="177"/>
      <c r="J24" s="236"/>
    </row>
    <row r="25" spans="1:10" x14ac:dyDescent="0.25">
      <c r="A25" s="92" t="s">
        <v>152</v>
      </c>
      <c r="B25" s="162"/>
      <c r="C25" s="93"/>
      <c r="D25" s="93">
        <v>194149.2</v>
      </c>
      <c r="E25" s="239">
        <f t="shared" si="0"/>
        <v>195143.59999999998</v>
      </c>
      <c r="F25" s="101">
        <v>389292.79999999999</v>
      </c>
      <c r="G25" s="93"/>
      <c r="I25" s="237"/>
      <c r="J25" s="236"/>
    </row>
    <row r="26" spans="1:10" x14ac:dyDescent="0.25">
      <c r="A26" s="96" t="s">
        <v>295</v>
      </c>
      <c r="B26" s="97">
        <v>50299010</v>
      </c>
      <c r="C26" s="98">
        <v>10000</v>
      </c>
      <c r="D26" s="98"/>
      <c r="E26" s="239">
        <f t="shared" si="0"/>
        <v>610</v>
      </c>
      <c r="F26" s="101">
        <v>610</v>
      </c>
      <c r="G26" s="13">
        <v>55948.75</v>
      </c>
    </row>
    <row r="27" spans="1:10" ht="30" x14ac:dyDescent="0.25">
      <c r="A27" s="99" t="s">
        <v>101</v>
      </c>
      <c r="B27" s="29">
        <v>50213050</v>
      </c>
      <c r="C27" s="583">
        <v>2814295.08</v>
      </c>
      <c r="D27" s="215">
        <v>24483.5</v>
      </c>
      <c r="E27" s="239">
        <f t="shared" si="0"/>
        <v>0</v>
      </c>
      <c r="F27" s="239">
        <v>24483.5</v>
      </c>
      <c r="G27" s="239"/>
      <c r="H27" s="242"/>
      <c r="I27" s="236"/>
    </row>
    <row r="28" spans="1:10" x14ac:dyDescent="0.25">
      <c r="A28" s="96" t="s">
        <v>232</v>
      </c>
      <c r="B28" s="123">
        <v>50203090</v>
      </c>
      <c r="C28" s="583"/>
      <c r="D28" s="215">
        <v>312078.90000000002</v>
      </c>
      <c r="E28" s="239">
        <f t="shared" si="0"/>
        <v>314027.06999999995</v>
      </c>
      <c r="F28" s="239">
        <v>626105.97</v>
      </c>
      <c r="G28" s="13">
        <v>450000</v>
      </c>
      <c r="H28" s="242"/>
      <c r="I28" s="236"/>
    </row>
    <row r="29" spans="1:10" x14ac:dyDescent="0.25">
      <c r="A29" s="96" t="s">
        <v>233</v>
      </c>
      <c r="B29" s="29">
        <v>50213050</v>
      </c>
      <c r="C29" s="583"/>
      <c r="D29" s="215">
        <v>212408</v>
      </c>
      <c r="E29" s="239">
        <f t="shared" si="0"/>
        <v>80298</v>
      </c>
      <c r="F29" s="239">
        <v>292706</v>
      </c>
      <c r="G29" s="13">
        <v>300000</v>
      </c>
      <c r="H29" s="242"/>
      <c r="I29" s="236"/>
    </row>
    <row r="30" spans="1:10" x14ac:dyDescent="0.25">
      <c r="A30" s="96" t="s">
        <v>234</v>
      </c>
      <c r="B30" s="29">
        <v>50213050</v>
      </c>
      <c r="C30" s="583"/>
      <c r="D30" s="98">
        <v>30100.35</v>
      </c>
      <c r="E30" s="239">
        <f t="shared" si="0"/>
        <v>319755</v>
      </c>
      <c r="F30" s="239">
        <v>349855.35</v>
      </c>
      <c r="G30" s="13">
        <v>450000</v>
      </c>
      <c r="H30" s="242"/>
      <c r="I30" s="236"/>
    </row>
    <row r="31" spans="1:10" x14ac:dyDescent="0.25">
      <c r="A31" s="96" t="s">
        <v>148</v>
      </c>
      <c r="B31" s="97"/>
      <c r="C31" s="98">
        <v>18400</v>
      </c>
      <c r="D31" s="98">
        <v>28990</v>
      </c>
      <c r="E31" s="239">
        <f t="shared" si="0"/>
        <v>9355</v>
      </c>
      <c r="F31" s="101">
        <v>38345</v>
      </c>
      <c r="G31" s="13">
        <v>40000</v>
      </c>
    </row>
    <row r="32" spans="1:10" x14ac:dyDescent="0.25">
      <c r="A32" s="96" t="s">
        <v>149</v>
      </c>
      <c r="B32" s="97"/>
      <c r="C32" s="98">
        <v>20000</v>
      </c>
      <c r="D32" s="98">
        <v>12000</v>
      </c>
      <c r="E32" s="239">
        <f t="shared" si="0"/>
        <v>12000</v>
      </c>
      <c r="F32" s="101">
        <v>24000</v>
      </c>
      <c r="G32" s="13">
        <v>24000</v>
      </c>
      <c r="I32" s="137"/>
      <c r="J32" s="137"/>
    </row>
    <row r="33" spans="1:8" x14ac:dyDescent="0.25">
      <c r="A33" s="96" t="s">
        <v>296</v>
      </c>
      <c r="B33" s="97"/>
      <c r="C33" s="98">
        <v>39380.379999999997</v>
      </c>
      <c r="D33" s="98"/>
      <c r="E33" s="239">
        <f t="shared" si="0"/>
        <v>0</v>
      </c>
      <c r="F33" s="101"/>
      <c r="G33" s="13"/>
    </row>
    <row r="34" spans="1:8" x14ac:dyDescent="0.25">
      <c r="A34" s="96" t="s">
        <v>65</v>
      </c>
      <c r="B34" s="97">
        <v>50214030</v>
      </c>
      <c r="C34" s="98"/>
      <c r="D34" s="98"/>
      <c r="E34" s="239">
        <f t="shared" si="0"/>
        <v>0</v>
      </c>
      <c r="F34" s="101"/>
      <c r="G34" s="13"/>
    </row>
    <row r="35" spans="1:8" x14ac:dyDescent="0.25">
      <c r="A35" s="96" t="s">
        <v>153</v>
      </c>
      <c r="B35" s="97">
        <v>50214020</v>
      </c>
      <c r="C35" s="238">
        <v>17580</v>
      </c>
      <c r="D35" s="220">
        <v>40874.99</v>
      </c>
      <c r="E35" s="239">
        <f t="shared" si="0"/>
        <v>6800</v>
      </c>
      <c r="F35" s="220">
        <v>47674.99</v>
      </c>
      <c r="G35" s="13">
        <v>50000</v>
      </c>
    </row>
    <row r="36" spans="1:8" x14ac:dyDescent="0.25">
      <c r="A36" s="96" t="s">
        <v>144</v>
      </c>
      <c r="B36" s="97">
        <v>50214020</v>
      </c>
      <c r="C36" s="98"/>
      <c r="D36" s="98"/>
      <c r="E36" s="239">
        <f t="shared" si="0"/>
        <v>0</v>
      </c>
      <c r="F36" s="101"/>
      <c r="G36" s="13">
        <v>1000</v>
      </c>
    </row>
    <row r="37" spans="1:8" x14ac:dyDescent="0.25">
      <c r="A37" s="96" t="s">
        <v>145</v>
      </c>
      <c r="B37" s="97"/>
      <c r="C37" s="98"/>
      <c r="D37" s="98"/>
      <c r="E37" s="239">
        <f t="shared" si="0"/>
        <v>0</v>
      </c>
      <c r="F37" s="101"/>
      <c r="G37" s="13">
        <v>8000</v>
      </c>
    </row>
    <row r="38" spans="1:8" x14ac:dyDescent="0.25">
      <c r="A38" s="96" t="s">
        <v>150</v>
      </c>
      <c r="B38" s="97"/>
      <c r="C38" s="98">
        <v>10000</v>
      </c>
      <c r="D38" s="98">
        <v>25000</v>
      </c>
      <c r="E38" s="239">
        <f t="shared" si="0"/>
        <v>0</v>
      </c>
      <c r="F38" s="101">
        <v>25000</v>
      </c>
      <c r="G38" s="13">
        <v>54000</v>
      </c>
    </row>
    <row r="39" spans="1:8" ht="30" x14ac:dyDescent="0.25">
      <c r="A39" s="245" t="s">
        <v>245</v>
      </c>
      <c r="B39" s="97"/>
      <c r="C39" s="583">
        <v>884275.82</v>
      </c>
      <c r="D39" s="220">
        <v>147900</v>
      </c>
      <c r="E39" s="239">
        <f t="shared" si="0"/>
        <v>-147900</v>
      </c>
      <c r="F39" s="235"/>
      <c r="G39" s="585"/>
    </row>
    <row r="40" spans="1:8" x14ac:dyDescent="0.25">
      <c r="A40" s="96" t="s">
        <v>273</v>
      </c>
      <c r="B40" s="97"/>
      <c r="C40" s="583"/>
      <c r="D40" s="220">
        <v>30275</v>
      </c>
      <c r="E40" s="239">
        <f t="shared" si="0"/>
        <v>12500</v>
      </c>
      <c r="F40" s="235">
        <v>42775</v>
      </c>
      <c r="G40" s="585"/>
    </row>
    <row r="41" spans="1:8" x14ac:dyDescent="0.25">
      <c r="A41" s="96" t="s">
        <v>274</v>
      </c>
      <c r="B41" s="97"/>
      <c r="C41" s="583"/>
      <c r="D41" s="220">
        <v>2920</v>
      </c>
      <c r="E41" s="239">
        <f t="shared" si="0"/>
        <v>0</v>
      </c>
      <c r="F41" s="235">
        <v>2920</v>
      </c>
      <c r="G41" s="585"/>
    </row>
    <row r="42" spans="1:8" x14ac:dyDescent="0.25">
      <c r="A42" s="96" t="s">
        <v>275</v>
      </c>
      <c r="B42" s="97"/>
      <c r="C42" s="583"/>
      <c r="D42" s="220">
        <v>72479.5</v>
      </c>
      <c r="E42" s="239">
        <f t="shared" si="0"/>
        <v>108273.66</v>
      </c>
      <c r="F42" s="235">
        <v>180753.16</v>
      </c>
      <c r="G42" s="585"/>
    </row>
    <row r="43" spans="1:8" x14ac:dyDescent="0.25">
      <c r="A43" s="96" t="s">
        <v>297</v>
      </c>
      <c r="B43" s="97"/>
      <c r="C43" s="583"/>
      <c r="D43" s="220"/>
      <c r="E43" s="239">
        <f t="shared" si="0"/>
        <v>0</v>
      </c>
      <c r="F43" s="235"/>
      <c r="G43" s="585"/>
      <c r="H43" s="137"/>
    </row>
    <row r="44" spans="1:8" x14ac:dyDescent="0.25">
      <c r="A44" s="96" t="s">
        <v>276</v>
      </c>
      <c r="B44" s="97"/>
      <c r="C44" s="583"/>
      <c r="D44" s="220"/>
      <c r="E44" s="239">
        <f t="shared" si="0"/>
        <v>0</v>
      </c>
      <c r="F44" s="235"/>
      <c r="G44" s="585"/>
    </row>
    <row r="45" spans="1:8" x14ac:dyDescent="0.25">
      <c r="A45" s="96" t="s">
        <v>277</v>
      </c>
      <c r="B45" s="97"/>
      <c r="C45" s="583"/>
      <c r="D45" s="220"/>
      <c r="E45" s="239">
        <f t="shared" si="0"/>
        <v>0</v>
      </c>
      <c r="F45" s="235"/>
      <c r="G45" s="585"/>
    </row>
    <row r="46" spans="1:8" x14ac:dyDescent="0.25">
      <c r="A46" s="96" t="s">
        <v>278</v>
      </c>
      <c r="B46" s="97"/>
      <c r="C46" s="583"/>
      <c r="D46" s="238"/>
      <c r="E46" s="239">
        <f t="shared" si="0"/>
        <v>106800</v>
      </c>
      <c r="F46" s="235">
        <v>106800</v>
      </c>
      <c r="G46" s="585"/>
    </row>
    <row r="47" spans="1:8" x14ac:dyDescent="0.25">
      <c r="A47" s="96" t="s">
        <v>279</v>
      </c>
      <c r="B47" s="97"/>
      <c r="C47" s="583"/>
      <c r="D47" s="220"/>
      <c r="E47" s="239">
        <f t="shared" si="0"/>
        <v>15000</v>
      </c>
      <c r="F47" s="235">
        <v>15000</v>
      </c>
      <c r="G47" s="585"/>
    </row>
    <row r="48" spans="1:8" x14ac:dyDescent="0.25">
      <c r="A48" s="96" t="s">
        <v>280</v>
      </c>
      <c r="B48" s="97"/>
      <c r="C48" s="583"/>
      <c r="D48" s="220"/>
      <c r="E48" s="239">
        <f t="shared" si="0"/>
        <v>0</v>
      </c>
      <c r="F48" s="235"/>
      <c r="G48" s="585"/>
    </row>
    <row r="49" spans="1:7" x14ac:dyDescent="0.25">
      <c r="A49" s="96" t="s">
        <v>281</v>
      </c>
      <c r="B49" s="97"/>
      <c r="C49" s="583"/>
      <c r="D49" s="220"/>
      <c r="E49" s="239">
        <f t="shared" si="0"/>
        <v>0</v>
      </c>
      <c r="F49" s="235"/>
      <c r="G49" s="585"/>
    </row>
    <row r="50" spans="1:7" x14ac:dyDescent="0.25">
      <c r="A50" s="96" t="s">
        <v>282</v>
      </c>
      <c r="B50" s="97"/>
      <c r="C50" s="98"/>
      <c r="D50" s="98"/>
      <c r="E50" s="239">
        <f t="shared" si="0"/>
        <v>0</v>
      </c>
      <c r="F50" s="101"/>
      <c r="G50" s="13">
        <v>250800</v>
      </c>
    </row>
    <row r="51" spans="1:7" x14ac:dyDescent="0.25">
      <c r="A51" s="96" t="s">
        <v>283</v>
      </c>
      <c r="B51" s="97">
        <v>50216020</v>
      </c>
      <c r="C51" s="98"/>
      <c r="D51" s="98"/>
      <c r="E51" s="239">
        <f t="shared" si="0"/>
        <v>0</v>
      </c>
      <c r="F51" s="101"/>
      <c r="G51" s="13"/>
    </row>
    <row r="52" spans="1:7" ht="15" hidden="1" customHeight="1" x14ac:dyDescent="0.25">
      <c r="A52" s="96" t="s">
        <v>26</v>
      </c>
      <c r="B52" s="97"/>
      <c r="C52" s="98"/>
      <c r="D52" s="98"/>
      <c r="E52" s="239">
        <f t="shared" si="0"/>
        <v>0</v>
      </c>
      <c r="F52" s="101"/>
      <c r="G52" s="13"/>
    </row>
    <row r="53" spans="1:7" x14ac:dyDescent="0.25">
      <c r="A53" s="96" t="s">
        <v>284</v>
      </c>
      <c r="B53" s="97">
        <v>5029990</v>
      </c>
      <c r="C53" s="98"/>
      <c r="D53" s="98"/>
      <c r="E53" s="239">
        <f t="shared" si="0"/>
        <v>0</v>
      </c>
      <c r="F53" s="101"/>
      <c r="G53" s="13"/>
    </row>
    <row r="54" spans="1:7" ht="15" hidden="1" customHeight="1" x14ac:dyDescent="0.25">
      <c r="A54" s="96" t="s">
        <v>100</v>
      </c>
      <c r="B54" s="97"/>
      <c r="C54" s="98"/>
      <c r="D54" s="98"/>
      <c r="E54" s="239">
        <f t="shared" si="0"/>
        <v>0</v>
      </c>
      <c r="F54" s="101"/>
      <c r="G54" s="13"/>
    </row>
    <row r="55" spans="1:7" x14ac:dyDescent="0.25">
      <c r="A55" s="96" t="s">
        <v>285</v>
      </c>
      <c r="B55" s="97">
        <v>5029990</v>
      </c>
      <c r="C55" s="98"/>
      <c r="D55" s="98">
        <v>2730</v>
      </c>
      <c r="E55" s="239">
        <f t="shared" si="0"/>
        <v>13623.14</v>
      </c>
      <c r="F55" s="101">
        <v>16353.14</v>
      </c>
      <c r="G55" s="13"/>
    </row>
    <row r="56" spans="1:7" x14ac:dyDescent="0.25">
      <c r="A56" s="96" t="s">
        <v>286</v>
      </c>
      <c r="B56" s="97">
        <v>5029990</v>
      </c>
      <c r="C56" s="98">
        <v>436528.39</v>
      </c>
      <c r="D56" s="98"/>
      <c r="E56" s="239">
        <f t="shared" si="0"/>
        <v>0</v>
      </c>
      <c r="F56" s="98"/>
      <c r="G56" s="13"/>
    </row>
    <row r="57" spans="1:7" x14ac:dyDescent="0.25">
      <c r="A57" s="96" t="s">
        <v>287</v>
      </c>
      <c r="B57" s="97">
        <v>50203010</v>
      </c>
      <c r="C57" s="98"/>
      <c r="D57" s="98"/>
      <c r="E57" s="239">
        <f t="shared" si="0"/>
        <v>0</v>
      </c>
      <c r="F57" s="98"/>
      <c r="G57" s="13">
        <v>50000</v>
      </c>
    </row>
    <row r="58" spans="1:7" x14ac:dyDescent="0.25">
      <c r="A58" s="96" t="s">
        <v>288</v>
      </c>
      <c r="B58" s="97"/>
      <c r="C58" s="583">
        <v>80504.91</v>
      </c>
      <c r="D58" s="220"/>
      <c r="E58" s="239">
        <f t="shared" si="0"/>
        <v>0</v>
      </c>
      <c r="F58" s="220"/>
      <c r="G58" s="13"/>
    </row>
    <row r="59" spans="1:7" x14ac:dyDescent="0.25">
      <c r="A59" s="96" t="s">
        <v>289</v>
      </c>
      <c r="B59" s="97">
        <v>5129990</v>
      </c>
      <c r="C59" s="583"/>
      <c r="D59" s="220">
        <v>39542.28</v>
      </c>
      <c r="E59" s="239">
        <f t="shared" si="0"/>
        <v>0</v>
      </c>
      <c r="F59" s="220">
        <v>39542.28</v>
      </c>
      <c r="G59" s="13">
        <v>15000</v>
      </c>
    </row>
    <row r="60" spans="1:7" x14ac:dyDescent="0.25">
      <c r="A60" s="96" t="s">
        <v>290</v>
      </c>
      <c r="B60" s="97"/>
      <c r="C60" s="583"/>
      <c r="D60" s="220">
        <v>540</v>
      </c>
      <c r="E60" s="239">
        <f t="shared" si="0"/>
        <v>2835</v>
      </c>
      <c r="F60" s="220">
        <v>3375</v>
      </c>
      <c r="G60" s="13">
        <v>15000</v>
      </c>
    </row>
    <row r="61" spans="1:7" x14ac:dyDescent="0.25">
      <c r="A61" s="96" t="s">
        <v>291</v>
      </c>
      <c r="B61" s="97"/>
      <c r="C61" s="583"/>
      <c r="D61" s="220"/>
      <c r="E61" s="239">
        <f t="shared" si="0"/>
        <v>0</v>
      </c>
      <c r="F61" s="220"/>
      <c r="G61" s="13">
        <v>15000</v>
      </c>
    </row>
    <row r="62" spans="1:7" x14ac:dyDescent="0.25">
      <c r="A62" s="96" t="s">
        <v>292</v>
      </c>
      <c r="B62" s="97"/>
      <c r="C62" s="584"/>
      <c r="D62" s="220">
        <v>27464.68</v>
      </c>
      <c r="E62" s="251">
        <f t="shared" si="0"/>
        <v>91247.47</v>
      </c>
      <c r="F62" s="273">
        <v>118712.15</v>
      </c>
      <c r="G62" s="13">
        <v>122000</v>
      </c>
    </row>
    <row r="63" spans="1:7" x14ac:dyDescent="0.25">
      <c r="A63" s="271" t="s">
        <v>293</v>
      </c>
      <c r="B63" s="97"/>
      <c r="C63" s="98">
        <v>149807</v>
      </c>
      <c r="D63" s="98">
        <v>58297</v>
      </c>
      <c r="E63" s="101">
        <f>F63-D63</f>
        <v>56487</v>
      </c>
      <c r="F63" s="101">
        <v>114784</v>
      </c>
      <c r="G63" s="13">
        <v>100000</v>
      </c>
    </row>
    <row r="64" spans="1:7" x14ac:dyDescent="0.25">
      <c r="A64" s="96" t="s">
        <v>294</v>
      </c>
      <c r="B64" s="29">
        <v>50213050</v>
      </c>
      <c r="C64" s="98">
        <v>1277250.33</v>
      </c>
      <c r="D64" s="243">
        <v>686290.56</v>
      </c>
      <c r="E64" s="101">
        <f t="shared" ref="E64:E66" si="1">F64-D64</f>
        <v>640245.34999999986</v>
      </c>
      <c r="F64" s="244">
        <v>1326535.9099999999</v>
      </c>
      <c r="G64" s="13">
        <v>1000000</v>
      </c>
    </row>
    <row r="65" spans="1:9" x14ac:dyDescent="0.25">
      <c r="A65" s="96" t="s">
        <v>242</v>
      </c>
      <c r="B65" s="97">
        <v>50299990</v>
      </c>
      <c r="C65" s="98">
        <v>250944.03</v>
      </c>
      <c r="D65" s="243"/>
      <c r="E65" s="101">
        <f t="shared" si="1"/>
        <v>312925.55</v>
      </c>
      <c r="F65" s="244">
        <v>312925.55</v>
      </c>
      <c r="G65" s="13">
        <v>385000</v>
      </c>
    </row>
    <row r="66" spans="1:9" x14ac:dyDescent="0.25">
      <c r="A66" s="96" t="s">
        <v>154</v>
      </c>
      <c r="B66" s="97">
        <v>5029990</v>
      </c>
      <c r="C66" s="98">
        <v>289627.39</v>
      </c>
      <c r="D66" s="98"/>
      <c r="E66" s="101">
        <f t="shared" si="1"/>
        <v>336461.19</v>
      </c>
      <c r="F66" s="101">
        <v>336461.19</v>
      </c>
      <c r="G66" s="13">
        <v>285000</v>
      </c>
    </row>
    <row r="67" spans="1:9" x14ac:dyDescent="0.25">
      <c r="A67" s="96" t="s">
        <v>298</v>
      </c>
      <c r="B67" s="97"/>
      <c r="C67" s="98"/>
      <c r="D67" s="98"/>
      <c r="E67" s="101"/>
      <c r="F67" s="101"/>
      <c r="G67" s="13">
        <v>250000</v>
      </c>
    </row>
    <row r="68" spans="1:9" x14ac:dyDescent="0.25">
      <c r="A68" s="96" t="s">
        <v>299</v>
      </c>
      <c r="B68" s="97"/>
      <c r="C68" s="98"/>
      <c r="D68" s="98"/>
      <c r="E68" s="101"/>
      <c r="F68" s="101"/>
      <c r="G68" s="13">
        <v>50000</v>
      </c>
    </row>
    <row r="69" spans="1:9" x14ac:dyDescent="0.25">
      <c r="A69" s="96" t="s">
        <v>300</v>
      </c>
      <c r="B69" s="97"/>
      <c r="C69" s="98"/>
      <c r="D69" s="98"/>
      <c r="E69" s="101"/>
      <c r="F69" s="101"/>
      <c r="G69" s="13">
        <v>50000</v>
      </c>
    </row>
    <row r="70" spans="1:9" ht="30" x14ac:dyDescent="0.25">
      <c r="A70" s="245" t="s">
        <v>301</v>
      </c>
      <c r="B70" s="97"/>
      <c r="C70" s="98"/>
      <c r="D70" s="98"/>
      <c r="E70" s="101"/>
      <c r="F70" s="101"/>
      <c r="G70" s="13">
        <v>100000</v>
      </c>
    </row>
    <row r="71" spans="1:9" x14ac:dyDescent="0.25">
      <c r="A71" s="82" t="s">
        <v>244</v>
      </c>
      <c r="B71" s="97"/>
      <c r="C71" s="216"/>
      <c r="D71" s="98"/>
      <c r="E71" s="101"/>
      <c r="F71" s="98"/>
      <c r="G71" s="100"/>
    </row>
    <row r="72" spans="1:9" x14ac:dyDescent="0.25">
      <c r="A72" s="77" t="s">
        <v>272</v>
      </c>
      <c r="B72" s="36"/>
      <c r="C72" s="217">
        <f ca="1">SUM(C17:C72)</f>
        <v>15137284.48</v>
      </c>
      <c r="D72" s="69">
        <f>SUM(D17:D71)</f>
        <v>2375543.96</v>
      </c>
      <c r="E72" s="69">
        <f>SUM(E17:E71)</f>
        <v>3115987.0299999993</v>
      </c>
      <c r="F72" s="69">
        <f>SUM(F17:F71)</f>
        <v>5491530.9900000002</v>
      </c>
      <c r="G72" s="69">
        <f>SUM(G17:G71)</f>
        <v>4988548.75</v>
      </c>
    </row>
    <row r="73" spans="1:9" x14ac:dyDescent="0.25">
      <c r="A73" s="94" t="s">
        <v>13</v>
      </c>
      <c r="B73" s="95"/>
      <c r="D73" s="95"/>
      <c r="E73" s="95"/>
      <c r="F73" s="95"/>
      <c r="G73" s="95"/>
    </row>
    <row r="74" spans="1:9" x14ac:dyDescent="0.25">
      <c r="A74" s="102" t="s">
        <v>156</v>
      </c>
      <c r="B74" s="31">
        <v>10705020</v>
      </c>
      <c r="C74" s="98"/>
      <c r="D74" s="98"/>
      <c r="E74" s="98"/>
      <c r="F74" s="98"/>
      <c r="G74" s="98">
        <v>203079.21</v>
      </c>
    </row>
    <row r="75" spans="1:9" x14ac:dyDescent="0.25">
      <c r="A75" s="246" t="s">
        <v>302</v>
      </c>
      <c r="B75" s="103"/>
      <c r="C75" s="69"/>
      <c r="D75" s="69">
        <f>SUM(D74:D74)</f>
        <v>0</v>
      </c>
      <c r="E75" s="69">
        <f>SUM(E74:E74)</f>
        <v>0</v>
      </c>
      <c r="F75" s="69">
        <f>SUM(F74:F74)</f>
        <v>0</v>
      </c>
      <c r="G75" s="69">
        <f>SUM(G74:G74)</f>
        <v>203079.21</v>
      </c>
    </row>
    <row r="76" spans="1:9" x14ac:dyDescent="0.25">
      <c r="A76" s="36" t="s">
        <v>61</v>
      </c>
      <c r="B76" s="103"/>
      <c r="C76" s="104">
        <v>15334284.48</v>
      </c>
      <c r="D76" s="104">
        <f>D72+D75</f>
        <v>2375543.96</v>
      </c>
      <c r="E76" s="104">
        <f>E72+E75</f>
        <v>3115987.0299999993</v>
      </c>
      <c r="F76" s="104">
        <f>F72+F75</f>
        <v>5491530.9900000002</v>
      </c>
      <c r="G76" s="104">
        <f>+G72+G75</f>
        <v>5191627.96</v>
      </c>
      <c r="I76" s="130"/>
    </row>
    <row r="77" spans="1:9" s="275" customFormat="1" ht="20.25" customHeight="1" x14ac:dyDescent="0.35">
      <c r="A77" s="274" t="s">
        <v>68</v>
      </c>
      <c r="B77" s="274" t="s">
        <v>69</v>
      </c>
      <c r="C77" s="274"/>
      <c r="D77" s="274"/>
      <c r="E77" s="274" t="s">
        <v>70</v>
      </c>
      <c r="F77" s="274"/>
      <c r="G77" s="274"/>
    </row>
    <row r="78" spans="1:9" ht="26.25" customHeight="1" x14ac:dyDescent="0.35">
      <c r="A78" s="158"/>
      <c r="B78" s="158"/>
      <c r="C78" s="158"/>
      <c r="D78" s="158"/>
      <c r="E78" s="158"/>
      <c r="F78" s="158"/>
      <c r="G78" s="158"/>
    </row>
    <row r="79" spans="1:9" ht="21" x14ac:dyDescent="0.35">
      <c r="A79" s="159" t="str">
        <f>MO!A69</f>
        <v xml:space="preserve">EUGENIO B. DATAHAN II  </v>
      </c>
      <c r="B79" s="159" t="str">
        <f>MO!B69</f>
        <v>JEAN JANIOLA-DELA PEṄA</v>
      </c>
      <c r="C79" s="158"/>
      <c r="D79" s="158"/>
      <c r="E79" s="159" t="str">
        <f>MO!E69</f>
        <v xml:space="preserve">EUGENIO B. DATAHAN II  </v>
      </c>
      <c r="F79" s="158"/>
      <c r="G79" s="158"/>
    </row>
    <row r="80" spans="1:9" ht="21" x14ac:dyDescent="0.35">
      <c r="A80" s="158" t="s">
        <v>15</v>
      </c>
      <c r="B80" s="158" t="s">
        <v>257</v>
      </c>
      <c r="C80" s="158"/>
      <c r="D80" s="158"/>
      <c r="E80" s="158" t="s">
        <v>258</v>
      </c>
      <c r="F80" s="158"/>
      <c r="G80" s="158"/>
    </row>
    <row r="81" spans="1:7" ht="21" x14ac:dyDescent="0.35">
      <c r="A81" s="158"/>
      <c r="B81" s="158"/>
      <c r="C81" s="158"/>
      <c r="D81" s="158"/>
      <c r="E81" s="158"/>
      <c r="F81" s="158"/>
      <c r="G81" s="158"/>
    </row>
    <row r="82" spans="1:7" ht="21" x14ac:dyDescent="0.35">
      <c r="A82" s="158"/>
      <c r="B82" s="158"/>
      <c r="C82" s="158"/>
      <c r="D82" s="158"/>
      <c r="E82" s="158"/>
      <c r="F82" s="158"/>
      <c r="G82" s="158"/>
    </row>
    <row r="83" spans="1:7" ht="21" x14ac:dyDescent="0.35">
      <c r="A83" s="158"/>
      <c r="B83" s="158"/>
      <c r="C83" s="158"/>
      <c r="D83" s="158"/>
      <c r="E83" s="158"/>
      <c r="F83" s="158"/>
      <c r="G83" s="158"/>
    </row>
    <row r="84" spans="1:7" ht="21" x14ac:dyDescent="0.35">
      <c r="A84" s="158"/>
      <c r="B84" s="158"/>
      <c r="C84" s="158"/>
      <c r="D84" s="158"/>
      <c r="E84" s="158"/>
      <c r="F84" s="158"/>
      <c r="G84" s="158"/>
    </row>
    <row r="85" spans="1:7" ht="21" x14ac:dyDescent="0.35">
      <c r="A85" s="158"/>
      <c r="B85" s="158"/>
      <c r="C85" s="158"/>
      <c r="D85" s="158"/>
      <c r="E85" s="158"/>
      <c r="F85" s="158"/>
      <c r="G85" s="158"/>
    </row>
    <row r="86" spans="1:7" ht="21" x14ac:dyDescent="0.35">
      <c r="A86" s="158"/>
      <c r="B86" s="158"/>
      <c r="C86" s="158"/>
      <c r="D86" s="158"/>
      <c r="E86" s="158"/>
      <c r="F86" s="158"/>
      <c r="G86" s="158"/>
    </row>
    <row r="87" spans="1:7" ht="21" x14ac:dyDescent="0.35">
      <c r="A87" s="158"/>
    </row>
  </sheetData>
  <sheetProtection password="CCFC" sheet="1" objects="1" scenarios="1" selectLockedCells="1" selectUnlockedCells="1"/>
  <mergeCells count="9">
    <mergeCell ref="C58:C62"/>
    <mergeCell ref="C27:C30"/>
    <mergeCell ref="C39:C49"/>
    <mergeCell ref="G39:G49"/>
    <mergeCell ref="A3:G3"/>
    <mergeCell ref="A10:A11"/>
    <mergeCell ref="B10:B11"/>
    <mergeCell ref="D10:F10"/>
    <mergeCell ref="A4:G4"/>
  </mergeCells>
  <conditionalFormatting sqref="A56:D62 F56:G62">
    <cfRule type="expression" dxfId="81" priority="33">
      <formula>ISNUMBER(SEARCH($A$2,A46))</formula>
    </cfRule>
  </conditionalFormatting>
  <conditionalFormatting sqref="I25">
    <cfRule type="expression" dxfId="80" priority="35">
      <formula>ISNUMBER(SEARCH($A$2,F17))</formula>
    </cfRule>
  </conditionalFormatting>
  <conditionalFormatting sqref="A71:G74 I24 A24:D24 A36:D36 A40:D42 A44:D45 A48:D49 A53:D55 G24 A29:D34 G31:G34 G36 G53:G55">
    <cfRule type="expression" dxfId="79" priority="27">
      <formula>ISNUMBER(SEARCH($A$2,#REF!))</formula>
    </cfRule>
  </conditionalFormatting>
  <conditionalFormatting sqref="A35:D35 G35 A15:G16 E24:E62">
    <cfRule type="expression" dxfId="78" priority="40">
      <formula>ISNUMBER(SEARCH($A$2,A6))</formula>
    </cfRule>
  </conditionalFormatting>
  <conditionalFormatting sqref="G25 A25:D25 G17:G19 A18:D19 E18:E22 A17:E17">
    <cfRule type="expression" dxfId="77" priority="41">
      <formula>ISNUMBER(SEARCH($A$2,A9))</formula>
    </cfRule>
  </conditionalFormatting>
  <conditionalFormatting sqref="A50:D52 G50:G52 A22:D23 F22:G23">
    <cfRule type="expression" dxfId="76" priority="51">
      <formula>ISNUMBER(SEARCH($A$2,A15))</formula>
    </cfRule>
  </conditionalFormatting>
  <conditionalFormatting sqref="G26 A26:D28">
    <cfRule type="expression" dxfId="75" priority="54">
      <formula>ISNUMBER(SEARCH($A$2,A23))</formula>
    </cfRule>
  </conditionalFormatting>
  <conditionalFormatting sqref="A37:D37 A43:D43 G37 A20:D20 F20:G20">
    <cfRule type="expression" dxfId="74" priority="55">
      <formula>ISNUMBER(SEARCH($A$2,A14))</formula>
    </cfRule>
  </conditionalFormatting>
  <conditionalFormatting sqref="A38:D39 G38">
    <cfRule type="expression" dxfId="73" priority="60">
      <formula>ISNUMBER(SEARCH($A$2,A34))</formula>
    </cfRule>
  </conditionalFormatting>
  <conditionalFormatting sqref="A46:D47">
    <cfRule type="expression" dxfId="72" priority="64">
      <formula>ISNUMBER(SEARCH($A$2,A41))</formula>
    </cfRule>
  </conditionalFormatting>
  <conditionalFormatting sqref="F24 F36 F40:G42 F44:G45 F48:G49 F53:F55 F28:F34 A64:G70">
    <cfRule type="expression" dxfId="71" priority="23">
      <formula>ISNUMBER(SEARCH($A$2,#REF!))</formula>
    </cfRule>
  </conditionalFormatting>
  <conditionalFormatting sqref="G43">
    <cfRule type="expression" dxfId="70" priority="24">
      <formula>ISNUMBER(SEARCH($A$2,G37))</formula>
    </cfRule>
  </conditionalFormatting>
  <conditionalFormatting sqref="G39">
    <cfRule type="expression" dxfId="69" priority="25">
      <formula>ISNUMBER(SEARCH($A$2,G35))</formula>
    </cfRule>
  </conditionalFormatting>
  <conditionalFormatting sqref="G46:G47">
    <cfRule type="expression" dxfId="68" priority="26">
      <formula>ISNUMBER(SEARCH($A$2,G41))</formula>
    </cfRule>
  </conditionalFormatting>
  <conditionalFormatting sqref="F17:F19">
    <cfRule type="expression" dxfId="67" priority="20">
      <formula>ISNUMBER(SEARCH($A$2,F9))</formula>
    </cfRule>
  </conditionalFormatting>
  <conditionalFormatting sqref="F26">
    <cfRule type="expression" dxfId="66" priority="22">
      <formula>ISNUMBER(SEARCH($A$2,F23))</formula>
    </cfRule>
  </conditionalFormatting>
  <conditionalFormatting sqref="G27">
    <cfRule type="expression" dxfId="65" priority="18">
      <formula>ISNUMBER(SEARCH($A$2,G24))</formula>
    </cfRule>
  </conditionalFormatting>
  <conditionalFormatting sqref="F35">
    <cfRule type="expression" dxfId="64" priority="12">
      <formula>ISNUMBER(SEARCH($A$2,F26))</formula>
    </cfRule>
  </conditionalFormatting>
  <conditionalFormatting sqref="F27">
    <cfRule type="expression" dxfId="63" priority="13">
      <formula>ISNUMBER(SEARCH($A$2,F24))</formula>
    </cfRule>
  </conditionalFormatting>
  <conditionalFormatting sqref="F37">
    <cfRule type="expression" dxfId="62" priority="14">
      <formula>ISNUMBER(SEARCH($A$2,F31))</formula>
    </cfRule>
  </conditionalFormatting>
  <conditionalFormatting sqref="F38">
    <cfRule type="expression" dxfId="61" priority="15">
      <formula>ISNUMBER(SEARCH($A$2,F34))</formula>
    </cfRule>
  </conditionalFormatting>
  <conditionalFormatting sqref="F50:F52">
    <cfRule type="expression" dxfId="60" priority="2">
      <formula>ISNUMBER(SEARCH($A$2,F43))</formula>
    </cfRule>
  </conditionalFormatting>
  <conditionalFormatting sqref="F43">
    <cfRule type="expression" dxfId="59" priority="3">
      <formula>ISNUMBER(SEARCH($A$2,F37))</formula>
    </cfRule>
  </conditionalFormatting>
  <conditionalFormatting sqref="F39">
    <cfRule type="expression" dxfId="58" priority="4">
      <formula>ISNUMBER(SEARCH($A$2,F35))</formula>
    </cfRule>
  </conditionalFormatting>
  <conditionalFormatting sqref="F46:F47">
    <cfRule type="expression" dxfId="57" priority="5">
      <formula>ISNUMBER(SEARCH($A$2,F41))</formula>
    </cfRule>
  </conditionalFormatting>
  <conditionalFormatting sqref="A63:G63 A75:G76">
    <cfRule type="expression" dxfId="56" priority="67">
      <formula>ISNUMBER(SEARCH($A$2,A62))</formula>
    </cfRule>
  </conditionalFormatting>
  <conditionalFormatting sqref="E23">
    <cfRule type="expression" dxfId="55" priority="74">
      <formula>ISNUMBER(SEARCH($A$2,#REF!))</formula>
    </cfRule>
  </conditionalFormatting>
  <conditionalFormatting sqref="A21:D21 F21:G21">
    <cfRule type="expression" dxfId="54" priority="78">
      <formula>ISNUMBER(SEARCH($A$2,#REF!))</formula>
    </cfRule>
  </conditionalFormatting>
  <printOptions horizontalCentered="1"/>
  <pageMargins left="1" right="0" top="0.63" bottom="0" header="0" footer="0"/>
  <pageSetup paperSize="5" scale="7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1" workbookViewId="0">
      <selection activeCell="D50" sqref="D50"/>
    </sheetView>
  </sheetViews>
  <sheetFormatPr defaultRowHeight="15" x14ac:dyDescent="0.25"/>
  <cols>
    <col min="1" max="1" width="41.85546875" customWidth="1"/>
    <col min="2" max="2" width="10.7109375" customWidth="1"/>
    <col min="3" max="3" width="13" customWidth="1"/>
    <col min="4" max="4" width="12.140625" customWidth="1"/>
    <col min="5" max="5" width="12" customWidth="1"/>
    <col min="6" max="6" width="12.85546875" customWidth="1"/>
    <col min="7" max="7" width="15.140625" customWidth="1"/>
    <col min="9" max="9" width="17" customWidth="1"/>
  </cols>
  <sheetData>
    <row r="1" spans="1:7" x14ac:dyDescent="0.25">
      <c r="A1" s="137" t="s">
        <v>366</v>
      </c>
      <c r="B1" s="137"/>
      <c r="C1" s="137"/>
      <c r="D1" s="137"/>
      <c r="E1" s="137"/>
      <c r="F1" s="137"/>
      <c r="G1" s="137" t="s">
        <v>365</v>
      </c>
    </row>
    <row r="2" spans="1:7" x14ac:dyDescent="0.25">
      <c r="A2" s="137"/>
      <c r="B2" s="137"/>
      <c r="C2" s="137"/>
      <c r="D2" s="137"/>
      <c r="E2" s="137"/>
      <c r="F2" s="137"/>
      <c r="G2" s="137"/>
    </row>
    <row r="3" spans="1:7" ht="21" x14ac:dyDescent="0.35">
      <c r="A3" s="586" t="s">
        <v>364</v>
      </c>
      <c r="B3" s="586"/>
      <c r="C3" s="586"/>
      <c r="D3" s="586"/>
      <c r="E3" s="586"/>
      <c r="F3" s="586"/>
      <c r="G3" s="586"/>
    </row>
    <row r="4" spans="1:7" ht="21" x14ac:dyDescent="0.35">
      <c r="A4" s="586" t="s">
        <v>401</v>
      </c>
      <c r="B4" s="586"/>
      <c r="C4" s="586"/>
      <c r="D4" s="586"/>
      <c r="E4" s="586"/>
      <c r="F4" s="586"/>
      <c r="G4" s="586"/>
    </row>
    <row r="6" spans="1:7" ht="21" x14ac:dyDescent="0.35">
      <c r="A6" s="582" t="s">
        <v>528</v>
      </c>
      <c r="B6" s="582"/>
      <c r="C6" s="582"/>
      <c r="D6" s="582"/>
      <c r="E6" s="582"/>
      <c r="F6" s="582"/>
    </row>
    <row r="7" spans="1:7" ht="21" x14ac:dyDescent="0.35">
      <c r="A7" s="406"/>
      <c r="B7" s="406"/>
      <c r="C7" s="406"/>
      <c r="D7" s="406"/>
      <c r="E7" s="406"/>
      <c r="F7" s="406"/>
      <c r="G7" s="405"/>
    </row>
    <row r="8" spans="1:7" ht="15" customHeight="1" x14ac:dyDescent="0.25">
      <c r="A8" s="404"/>
      <c r="B8" s="404"/>
      <c r="C8" s="263"/>
      <c r="D8" s="622" t="s">
        <v>8</v>
      </c>
      <c r="E8" s="623"/>
      <c r="F8" s="624"/>
      <c r="G8" s="408" t="s">
        <v>527</v>
      </c>
    </row>
    <row r="9" spans="1:7" ht="60" x14ac:dyDescent="0.25">
      <c r="A9" s="262" t="s">
        <v>0</v>
      </c>
      <c r="B9" s="264" t="s">
        <v>1</v>
      </c>
      <c r="C9" s="264" t="s">
        <v>502</v>
      </c>
      <c r="D9" s="402" t="s">
        <v>501</v>
      </c>
      <c r="E9" s="402" t="s">
        <v>500</v>
      </c>
      <c r="F9" s="264" t="s">
        <v>62</v>
      </c>
      <c r="G9" s="262" t="s">
        <v>526</v>
      </c>
    </row>
    <row r="10" spans="1:7" x14ac:dyDescent="0.25">
      <c r="A10" s="262"/>
      <c r="B10" s="403"/>
      <c r="C10" s="264">
        <v>2016</v>
      </c>
      <c r="D10" s="402">
        <v>2017</v>
      </c>
      <c r="E10" s="402">
        <v>2017</v>
      </c>
      <c r="F10" s="264"/>
      <c r="G10" s="402">
        <v>2018</v>
      </c>
    </row>
    <row r="11" spans="1:7" x14ac:dyDescent="0.25">
      <c r="A11" s="320">
        <v>1</v>
      </c>
      <c r="B11" s="401">
        <v>2</v>
      </c>
      <c r="C11" s="320">
        <v>3</v>
      </c>
      <c r="D11" s="320">
        <v>4</v>
      </c>
      <c r="E11" s="320">
        <v>5</v>
      </c>
      <c r="F11" s="320">
        <v>6</v>
      </c>
      <c r="G11" s="320">
        <v>7</v>
      </c>
    </row>
    <row r="12" spans="1:7" x14ac:dyDescent="0.25">
      <c r="A12" s="186" t="s">
        <v>14</v>
      </c>
      <c r="B12" s="186"/>
      <c r="C12" s="186"/>
      <c r="D12" s="212"/>
      <c r="E12" s="210"/>
      <c r="F12" s="210"/>
      <c r="G12" s="210"/>
    </row>
    <row r="13" spans="1:7" x14ac:dyDescent="0.25">
      <c r="A13" s="255" t="s">
        <v>525</v>
      </c>
      <c r="B13" s="31"/>
      <c r="C13" s="400"/>
      <c r="D13" s="186"/>
      <c r="E13" s="210"/>
      <c r="F13" s="210"/>
      <c r="G13" s="209"/>
    </row>
    <row r="14" spans="1:7" x14ac:dyDescent="0.25">
      <c r="A14" s="370" t="s">
        <v>524</v>
      </c>
      <c r="B14" s="31"/>
      <c r="C14" s="400"/>
      <c r="D14" s="186"/>
      <c r="E14" s="210"/>
      <c r="F14" s="210"/>
      <c r="G14" s="209">
        <v>36000</v>
      </c>
    </row>
    <row r="15" spans="1:7" x14ac:dyDescent="0.25">
      <c r="A15" s="370" t="s">
        <v>523</v>
      </c>
      <c r="B15" s="31"/>
      <c r="C15" s="400"/>
      <c r="D15" s="186"/>
      <c r="E15" s="210"/>
      <c r="F15" s="210"/>
      <c r="G15" s="209">
        <v>75000</v>
      </c>
    </row>
    <row r="16" spans="1:7" x14ac:dyDescent="0.25">
      <c r="A16" s="370" t="s">
        <v>522</v>
      </c>
      <c r="B16" s="31"/>
      <c r="C16" s="400"/>
      <c r="D16" s="186"/>
      <c r="E16" s="210"/>
      <c r="F16" s="210"/>
      <c r="G16" s="209">
        <v>36600</v>
      </c>
    </row>
    <row r="17" spans="1:7" x14ac:dyDescent="0.25">
      <c r="A17" s="370" t="s">
        <v>521</v>
      </c>
      <c r="B17" s="31"/>
      <c r="C17" s="400"/>
      <c r="D17" s="186"/>
      <c r="E17" s="210"/>
      <c r="F17" s="210"/>
      <c r="G17" s="209">
        <v>50000</v>
      </c>
    </row>
    <row r="18" spans="1:7" x14ac:dyDescent="0.25">
      <c r="A18" s="370" t="s">
        <v>520</v>
      </c>
      <c r="B18" s="31"/>
      <c r="C18" s="400"/>
      <c r="D18" s="186"/>
      <c r="E18" s="210"/>
      <c r="F18" s="186"/>
      <c r="G18" s="209">
        <v>50000</v>
      </c>
    </row>
    <row r="19" spans="1:7" x14ac:dyDescent="0.25">
      <c r="A19" s="370" t="s">
        <v>519</v>
      </c>
      <c r="B19" s="31"/>
      <c r="C19" s="400"/>
      <c r="D19" s="186"/>
      <c r="E19" s="210"/>
      <c r="F19" s="186"/>
      <c r="G19" s="209">
        <v>50000</v>
      </c>
    </row>
    <row r="20" spans="1:7" x14ac:dyDescent="0.25">
      <c r="A20" s="370" t="s">
        <v>518</v>
      </c>
      <c r="B20" s="31"/>
      <c r="C20" s="400"/>
      <c r="D20" s="186"/>
      <c r="E20" s="210"/>
      <c r="F20" s="186"/>
      <c r="G20" s="70">
        <v>50000</v>
      </c>
    </row>
    <row r="21" spans="1:7" x14ac:dyDescent="0.25">
      <c r="A21" s="370" t="s">
        <v>517</v>
      </c>
      <c r="B21" s="31"/>
      <c r="C21" s="400"/>
      <c r="D21" s="186"/>
      <c r="E21" s="210"/>
      <c r="F21" s="186"/>
      <c r="G21" s="70">
        <v>50000</v>
      </c>
    </row>
    <row r="22" spans="1:7" x14ac:dyDescent="0.25">
      <c r="A22" s="122" t="s">
        <v>516</v>
      </c>
      <c r="B22" s="31"/>
      <c r="C22" s="400"/>
      <c r="D22" s="186"/>
      <c r="E22" s="210"/>
      <c r="F22" s="186"/>
      <c r="G22" s="209">
        <v>72000</v>
      </c>
    </row>
    <row r="23" spans="1:7" x14ac:dyDescent="0.25">
      <c r="A23" s="370" t="s">
        <v>515</v>
      </c>
      <c r="B23" s="31"/>
      <c r="C23" s="400"/>
      <c r="D23" s="186"/>
      <c r="E23" s="210"/>
      <c r="F23" s="186"/>
      <c r="G23" s="209">
        <v>144000</v>
      </c>
    </row>
    <row r="24" spans="1:7" x14ac:dyDescent="0.25">
      <c r="A24" s="370" t="s">
        <v>514</v>
      </c>
      <c r="B24" s="31"/>
      <c r="C24" s="400"/>
      <c r="D24" s="186"/>
      <c r="E24" s="210"/>
      <c r="F24" s="186"/>
      <c r="G24" s="209">
        <v>36000</v>
      </c>
    </row>
    <row r="25" spans="1:7" x14ac:dyDescent="0.25">
      <c r="A25" s="122" t="s">
        <v>513</v>
      </c>
      <c r="B25" s="31"/>
      <c r="C25" s="400"/>
      <c r="D25" s="186"/>
      <c r="E25" s="210"/>
      <c r="F25" s="186"/>
      <c r="G25" s="70">
        <v>100000</v>
      </c>
    </row>
    <row r="26" spans="1:7" x14ac:dyDescent="0.25">
      <c r="A26" s="370"/>
      <c r="B26" s="31"/>
      <c r="C26" s="400"/>
      <c r="D26" s="186"/>
      <c r="E26" s="210"/>
      <c r="F26" s="186"/>
      <c r="G26" s="186"/>
    </row>
    <row r="27" spans="1:7" x14ac:dyDescent="0.25">
      <c r="A27" s="370" t="s">
        <v>512</v>
      </c>
      <c r="B27" s="31"/>
      <c r="C27" s="400"/>
      <c r="D27" s="186"/>
      <c r="E27" s="210"/>
      <c r="F27" s="186"/>
      <c r="G27" s="209">
        <v>163774.54</v>
      </c>
    </row>
    <row r="28" spans="1:7" x14ac:dyDescent="0.25">
      <c r="A28" s="370" t="s">
        <v>511</v>
      </c>
      <c r="B28" s="31"/>
      <c r="C28" s="400"/>
      <c r="D28" s="186"/>
      <c r="E28" s="210"/>
      <c r="F28" s="186"/>
      <c r="G28" s="209">
        <v>243339.31</v>
      </c>
    </row>
    <row r="29" spans="1:7" x14ac:dyDescent="0.25">
      <c r="A29" s="370" t="s">
        <v>510</v>
      </c>
      <c r="B29" s="31"/>
      <c r="C29" s="400"/>
      <c r="D29" s="186"/>
      <c r="E29" s="210"/>
      <c r="F29" s="186"/>
      <c r="G29" s="209">
        <v>163774.54</v>
      </c>
    </row>
    <row r="30" spans="1:7" x14ac:dyDescent="0.25">
      <c r="A30" s="370"/>
      <c r="B30" s="31"/>
      <c r="C30" s="400"/>
      <c r="D30" s="186"/>
      <c r="E30" s="210"/>
      <c r="F30" s="186"/>
      <c r="G30" s="209"/>
    </row>
    <row r="31" spans="1:7" x14ac:dyDescent="0.25">
      <c r="A31" s="407" t="s">
        <v>509</v>
      </c>
      <c r="B31" s="31"/>
      <c r="C31" s="400"/>
      <c r="D31" s="186"/>
      <c r="E31" s="210"/>
      <c r="F31" s="186"/>
      <c r="G31" s="209"/>
    </row>
    <row r="32" spans="1:7" x14ac:dyDescent="0.25">
      <c r="A32" s="370" t="s">
        <v>505</v>
      </c>
      <c r="B32" s="31"/>
      <c r="C32" s="400"/>
      <c r="D32" s="186"/>
      <c r="E32" s="210"/>
      <c r="F32" s="186"/>
      <c r="G32" s="209">
        <v>37800</v>
      </c>
    </row>
    <row r="33" spans="1:7" x14ac:dyDescent="0.25">
      <c r="A33" s="370" t="s">
        <v>504</v>
      </c>
      <c r="B33" s="31"/>
      <c r="C33" s="400"/>
      <c r="D33" s="186"/>
      <c r="E33" s="210"/>
      <c r="F33" s="186"/>
      <c r="G33" s="209">
        <v>10000</v>
      </c>
    </row>
    <row r="34" spans="1:7" x14ac:dyDescent="0.25">
      <c r="A34" s="370" t="s">
        <v>508</v>
      </c>
      <c r="B34" s="31"/>
      <c r="C34" s="400"/>
      <c r="D34" s="186"/>
      <c r="E34" s="210"/>
      <c r="F34" s="186"/>
      <c r="G34" s="209">
        <v>32900</v>
      </c>
    </row>
    <row r="35" spans="1:7" x14ac:dyDescent="0.25">
      <c r="A35" s="370" t="s">
        <v>507</v>
      </c>
      <c r="B35" s="31"/>
      <c r="C35" s="400"/>
      <c r="D35" s="186"/>
      <c r="E35" s="210"/>
      <c r="F35" s="186"/>
      <c r="G35" s="209">
        <v>31500</v>
      </c>
    </row>
    <row r="36" spans="1:7" x14ac:dyDescent="0.25">
      <c r="A36" s="370" t="s">
        <v>506</v>
      </c>
      <c r="B36" s="31"/>
      <c r="C36" s="400"/>
      <c r="D36" s="186"/>
      <c r="E36" s="210"/>
      <c r="F36" s="186"/>
      <c r="G36" s="209">
        <v>40000</v>
      </c>
    </row>
    <row r="37" spans="1:7" x14ac:dyDescent="0.25">
      <c r="A37" s="370"/>
      <c r="B37" s="31"/>
      <c r="C37" s="400"/>
      <c r="D37" s="186"/>
      <c r="E37" s="210"/>
      <c r="F37" s="186"/>
      <c r="G37" s="209"/>
    </row>
    <row r="38" spans="1:7" x14ac:dyDescent="0.25">
      <c r="A38" s="407" t="s">
        <v>457</v>
      </c>
      <c r="B38" s="31"/>
      <c r="C38" s="400"/>
      <c r="D38" s="186"/>
      <c r="E38" s="210"/>
      <c r="F38" s="186"/>
      <c r="G38" s="209"/>
    </row>
    <row r="39" spans="1:7" x14ac:dyDescent="0.25">
      <c r="A39" s="370" t="s">
        <v>505</v>
      </c>
      <c r="B39" s="31"/>
      <c r="C39" s="400"/>
      <c r="D39" s="186"/>
      <c r="E39" s="210"/>
      <c r="F39" s="186"/>
      <c r="G39" s="209">
        <v>37800</v>
      </c>
    </row>
    <row r="40" spans="1:7" x14ac:dyDescent="0.25">
      <c r="A40" s="370" t="s">
        <v>504</v>
      </c>
      <c r="B40" s="31"/>
      <c r="C40" s="400"/>
      <c r="D40" s="186"/>
      <c r="E40" s="210"/>
      <c r="F40" s="186"/>
      <c r="G40" s="209">
        <v>10000</v>
      </c>
    </row>
    <row r="41" spans="1:7" x14ac:dyDescent="0.25">
      <c r="A41" s="370"/>
      <c r="B41" s="31"/>
      <c r="C41" s="400"/>
      <c r="D41" s="186"/>
      <c r="E41" s="210"/>
      <c r="F41" s="186"/>
      <c r="G41" s="209"/>
    </row>
    <row r="42" spans="1:7" x14ac:dyDescent="0.25">
      <c r="A42" s="370"/>
      <c r="B42" s="31"/>
      <c r="C42" s="400"/>
      <c r="D42" s="186"/>
      <c r="E42" s="210"/>
      <c r="F42" s="186"/>
      <c r="G42" s="209"/>
    </row>
    <row r="43" spans="1:7" x14ac:dyDescent="0.25">
      <c r="A43" s="370" t="s">
        <v>455</v>
      </c>
      <c r="B43" s="31"/>
      <c r="C43" s="400"/>
      <c r="D43" s="186"/>
      <c r="E43" s="210"/>
      <c r="F43" s="186"/>
      <c r="G43" s="209">
        <v>30000</v>
      </c>
    </row>
    <row r="44" spans="1:7" x14ac:dyDescent="0.25">
      <c r="A44" s="399"/>
      <c r="B44" s="32"/>
      <c r="C44" s="398"/>
      <c r="D44" s="213"/>
      <c r="E44" s="214"/>
      <c r="F44" s="213"/>
      <c r="G44" s="211"/>
    </row>
    <row r="45" spans="1:7" x14ac:dyDescent="0.25">
      <c r="A45" s="11" t="s">
        <v>62</v>
      </c>
      <c r="B45" s="397"/>
      <c r="C45" s="396"/>
      <c r="D45" s="397"/>
      <c r="E45" s="397"/>
      <c r="F45" s="397"/>
      <c r="G45" s="396">
        <f>SUM(G14:G44)</f>
        <v>1550488.3900000001</v>
      </c>
    </row>
    <row r="47" spans="1:7" ht="21" x14ac:dyDescent="0.35">
      <c r="A47" s="154" t="s">
        <v>68</v>
      </c>
      <c r="B47" s="154" t="s">
        <v>69</v>
      </c>
      <c r="C47" s="154"/>
      <c r="F47" s="154" t="s">
        <v>70</v>
      </c>
      <c r="G47" s="154"/>
    </row>
    <row r="48" spans="1:7" ht="21" x14ac:dyDescent="0.35">
      <c r="A48" s="154"/>
      <c r="B48" s="154"/>
      <c r="C48" s="154"/>
      <c r="F48" s="154"/>
      <c r="G48" s="154"/>
    </row>
    <row r="49" spans="1:7" ht="21" x14ac:dyDescent="0.35">
      <c r="A49" s="155" t="s">
        <v>491</v>
      </c>
      <c r="B49" s="155" t="s">
        <v>492</v>
      </c>
      <c r="C49" s="155"/>
      <c r="D49" s="1"/>
      <c r="F49" s="155" t="s">
        <v>491</v>
      </c>
      <c r="G49" s="155"/>
    </row>
    <row r="50" spans="1:7" ht="21" x14ac:dyDescent="0.35">
      <c r="A50" s="154" t="s">
        <v>261</v>
      </c>
      <c r="B50" s="154" t="s">
        <v>265</v>
      </c>
      <c r="C50" s="154"/>
      <c r="F50" s="154" t="s">
        <v>249</v>
      </c>
      <c r="G50" s="154"/>
    </row>
    <row r="51" spans="1:7" ht="21" x14ac:dyDescent="0.35">
      <c r="A51" s="154"/>
      <c r="B51" s="154"/>
      <c r="C51" s="154"/>
      <c r="D51" s="154"/>
      <c r="E51" s="154"/>
    </row>
  </sheetData>
  <sheetProtection password="CCFC" sheet="1" objects="1" scenarios="1" selectLockedCells="1" selectUnlockedCells="1"/>
  <mergeCells count="4">
    <mergeCell ref="A3:G3"/>
    <mergeCell ref="A4:G4"/>
    <mergeCell ref="D8:F8"/>
    <mergeCell ref="A6:F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65" workbookViewId="0">
      <selection activeCell="C82" sqref="C82"/>
    </sheetView>
  </sheetViews>
  <sheetFormatPr defaultRowHeight="15" x14ac:dyDescent="0.25"/>
  <cols>
    <col min="1" max="1" width="52.28515625" style="88" customWidth="1"/>
    <col min="2" max="2" width="11.140625" style="88" customWidth="1"/>
    <col min="3" max="3" width="11.7109375" style="88" customWidth="1"/>
    <col min="4" max="4" width="12.140625" style="88" customWidth="1"/>
    <col min="5" max="5" width="12.5703125" style="88" customWidth="1"/>
    <col min="6" max="6" width="12.140625" style="88" customWidth="1"/>
    <col min="7" max="7" width="13.28515625" style="88" customWidth="1"/>
    <col min="8" max="8" width="17.85546875" style="88" customWidth="1"/>
    <col min="9" max="9" width="13.7109375" style="88" bestFit="1" customWidth="1"/>
    <col min="10" max="16384" width="9.140625" style="88"/>
  </cols>
  <sheetData>
    <row r="1" spans="1:8" x14ac:dyDescent="0.25">
      <c r="A1" s="88" t="s">
        <v>9</v>
      </c>
      <c r="G1" s="137" t="s">
        <v>96</v>
      </c>
    </row>
    <row r="3" spans="1:8" ht="21" x14ac:dyDescent="0.35">
      <c r="A3" s="586" t="s">
        <v>10</v>
      </c>
      <c r="B3" s="586"/>
      <c r="C3" s="586"/>
      <c r="D3" s="586"/>
      <c r="E3" s="586"/>
      <c r="F3" s="586"/>
      <c r="G3" s="586"/>
    </row>
    <row r="4" spans="1:8" ht="21" x14ac:dyDescent="0.35">
      <c r="A4" s="586" t="s">
        <v>127</v>
      </c>
      <c r="B4" s="586"/>
      <c r="C4" s="586"/>
      <c r="D4" s="586"/>
      <c r="E4" s="586"/>
      <c r="F4" s="586"/>
      <c r="G4" s="586"/>
    </row>
    <row r="5" spans="1:8" ht="18.75" x14ac:dyDescent="0.3">
      <c r="A5" s="427" t="s">
        <v>587</v>
      </c>
      <c r="B5" s="427"/>
      <c r="C5" s="427"/>
      <c r="D5" s="427"/>
      <c r="E5" s="427"/>
      <c r="F5" s="427"/>
      <c r="G5" s="409"/>
      <c r="H5" s="409"/>
    </row>
    <row r="7" spans="1:8" x14ac:dyDescent="0.25">
      <c r="A7" s="625" t="s">
        <v>0</v>
      </c>
      <c r="B7" s="589" t="s">
        <v>1</v>
      </c>
      <c r="C7" s="89"/>
      <c r="D7" s="587" t="s">
        <v>8</v>
      </c>
      <c r="E7" s="591"/>
      <c r="F7" s="592"/>
      <c r="G7" s="89" t="s">
        <v>3</v>
      </c>
    </row>
    <row r="8" spans="1:8" ht="45" x14ac:dyDescent="0.25">
      <c r="A8" s="626"/>
      <c r="B8" s="590"/>
      <c r="C8" s="270" t="s">
        <v>586</v>
      </c>
      <c r="D8" s="269" t="s">
        <v>102</v>
      </c>
      <c r="E8" s="269" t="s">
        <v>104</v>
      </c>
      <c r="F8" s="89" t="s">
        <v>5</v>
      </c>
      <c r="G8" s="90" t="s">
        <v>6</v>
      </c>
    </row>
    <row r="9" spans="1:8" x14ac:dyDescent="0.25">
      <c r="A9" s="90"/>
      <c r="B9" s="90"/>
      <c r="C9" s="90"/>
      <c r="D9" s="90" t="s">
        <v>4</v>
      </c>
      <c r="E9" s="90" t="s">
        <v>7</v>
      </c>
      <c r="F9" s="90"/>
      <c r="G9" s="90"/>
    </row>
    <row r="10" spans="1:8" x14ac:dyDescent="0.25">
      <c r="A10" s="90"/>
      <c r="B10" s="90"/>
      <c r="C10" s="90">
        <v>2016</v>
      </c>
      <c r="D10" s="90">
        <v>2017</v>
      </c>
      <c r="E10" s="90">
        <v>2017</v>
      </c>
      <c r="F10" s="90"/>
      <c r="G10" s="90">
        <v>2018</v>
      </c>
    </row>
    <row r="11" spans="1:8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</row>
    <row r="12" spans="1:8" x14ac:dyDescent="0.25">
      <c r="A12" s="407" t="s">
        <v>14</v>
      </c>
      <c r="B12" s="90"/>
      <c r="C12" s="90"/>
      <c r="D12" s="90"/>
      <c r="E12" s="90"/>
      <c r="F12" s="90"/>
      <c r="G12" s="90"/>
    </row>
    <row r="13" spans="1:8" hidden="1" x14ac:dyDescent="0.25">
      <c r="A13" s="370" t="s">
        <v>53</v>
      </c>
      <c r="B13" s="90"/>
      <c r="C13" s="90"/>
      <c r="D13" s="90"/>
      <c r="E13" s="90"/>
      <c r="F13" s="90"/>
      <c r="G13" s="90"/>
    </row>
    <row r="14" spans="1:8" x14ac:dyDescent="0.25">
      <c r="A14" s="370" t="s">
        <v>585</v>
      </c>
      <c r="B14" s="162">
        <v>50299080</v>
      </c>
      <c r="C14" s="267"/>
      <c r="D14" s="267"/>
      <c r="E14" s="267"/>
      <c r="F14" s="267"/>
      <c r="G14" s="93">
        <v>400000</v>
      </c>
    </row>
    <row r="15" spans="1:8" x14ac:dyDescent="0.25">
      <c r="A15" s="370" t="s">
        <v>584</v>
      </c>
      <c r="B15" s="162"/>
      <c r="C15" s="267"/>
      <c r="D15" s="267"/>
      <c r="E15" s="267"/>
      <c r="F15" s="267"/>
      <c r="G15" s="93">
        <v>100000</v>
      </c>
    </row>
    <row r="16" spans="1:8" x14ac:dyDescent="0.25">
      <c r="A16" s="426" t="s">
        <v>583</v>
      </c>
      <c r="B16" s="162">
        <v>50214020</v>
      </c>
      <c r="C16" s="267"/>
      <c r="D16" s="267"/>
      <c r="E16" s="267"/>
      <c r="F16" s="267"/>
      <c r="G16" s="93"/>
    </row>
    <row r="17" spans="1:10" x14ac:dyDescent="0.25">
      <c r="A17" s="425" t="s">
        <v>582</v>
      </c>
      <c r="B17" s="162"/>
      <c r="C17" s="93"/>
      <c r="D17" s="93"/>
      <c r="E17" s="267"/>
      <c r="F17" s="267"/>
      <c r="G17" s="93">
        <v>16500</v>
      </c>
    </row>
    <row r="18" spans="1:10" x14ac:dyDescent="0.25">
      <c r="A18" s="425" t="s">
        <v>581</v>
      </c>
      <c r="B18" s="162"/>
      <c r="C18" s="93"/>
      <c r="D18" s="93"/>
      <c r="E18" s="267"/>
      <c r="F18" s="267"/>
      <c r="G18" s="93">
        <v>6500</v>
      </c>
    </row>
    <row r="19" spans="1:10" x14ac:dyDescent="0.25">
      <c r="A19" s="425" t="s">
        <v>580</v>
      </c>
      <c r="B19" s="162"/>
      <c r="C19" s="190"/>
      <c r="D19" s="93"/>
      <c r="E19" s="267"/>
      <c r="F19" s="267"/>
      <c r="G19" s="93">
        <v>60000</v>
      </c>
    </row>
    <row r="20" spans="1:10" x14ac:dyDescent="0.25">
      <c r="A20" s="425" t="s">
        <v>155</v>
      </c>
      <c r="B20" s="162"/>
      <c r="C20" s="93"/>
      <c r="D20" s="93"/>
      <c r="E20" s="267"/>
      <c r="F20" s="267"/>
      <c r="G20" s="93">
        <v>50000</v>
      </c>
    </row>
    <row r="21" spans="1:10" x14ac:dyDescent="0.25">
      <c r="A21" s="425" t="s">
        <v>579</v>
      </c>
      <c r="B21" s="162">
        <v>50299990</v>
      </c>
      <c r="C21" s="93"/>
      <c r="D21" s="220"/>
      <c r="E21" s="267"/>
      <c r="F21" s="267"/>
      <c r="G21" s="93">
        <v>225000</v>
      </c>
      <c r="I21" s="177"/>
      <c r="J21" s="236"/>
    </row>
    <row r="22" spans="1:10" x14ac:dyDescent="0.25">
      <c r="A22" s="424" t="s">
        <v>473</v>
      </c>
      <c r="B22" s="162"/>
      <c r="C22" s="93"/>
      <c r="D22" s="93"/>
      <c r="E22" s="267"/>
      <c r="F22" s="101"/>
      <c r="G22" s="93"/>
      <c r="I22" s="237"/>
      <c r="J22" s="236"/>
    </row>
    <row r="23" spans="1:10" x14ac:dyDescent="0.25">
      <c r="A23" s="271" t="s">
        <v>578</v>
      </c>
      <c r="B23" s="97"/>
      <c r="C23" s="98"/>
      <c r="D23" s="98"/>
      <c r="E23" s="267"/>
      <c r="F23" s="101"/>
      <c r="G23" s="13">
        <v>30000</v>
      </c>
    </row>
    <row r="24" spans="1:10" x14ac:dyDescent="0.25">
      <c r="A24" s="423" t="s">
        <v>472</v>
      </c>
      <c r="B24" s="29"/>
      <c r="C24" s="220"/>
      <c r="D24" s="267"/>
      <c r="E24" s="267"/>
      <c r="F24" s="267"/>
      <c r="G24" s="267"/>
      <c r="H24" s="242"/>
      <c r="I24" s="236"/>
    </row>
    <row r="25" spans="1:10" x14ac:dyDescent="0.25">
      <c r="A25" s="271" t="s">
        <v>577</v>
      </c>
      <c r="B25" s="123"/>
      <c r="C25" s="220"/>
      <c r="D25" s="267"/>
      <c r="E25" s="267"/>
      <c r="F25" s="267"/>
      <c r="G25" s="13">
        <v>460800</v>
      </c>
      <c r="H25" s="242"/>
      <c r="I25" s="236"/>
    </row>
    <row r="26" spans="1:10" x14ac:dyDescent="0.25">
      <c r="A26" s="271" t="s">
        <v>574</v>
      </c>
      <c r="B26" s="29"/>
      <c r="C26" s="220"/>
      <c r="D26" s="267"/>
      <c r="E26" s="267"/>
      <c r="F26" s="267"/>
      <c r="G26" s="13">
        <v>30000</v>
      </c>
      <c r="H26" s="242"/>
      <c r="I26" s="236"/>
    </row>
    <row r="27" spans="1:10" x14ac:dyDescent="0.25">
      <c r="A27" s="271" t="s">
        <v>536</v>
      </c>
      <c r="B27" s="29"/>
      <c r="C27" s="220"/>
      <c r="D27" s="98"/>
      <c r="E27" s="267"/>
      <c r="F27" s="267"/>
      <c r="G27" s="13">
        <v>30000</v>
      </c>
      <c r="H27" s="242"/>
      <c r="I27" s="236"/>
    </row>
    <row r="28" spans="1:10" x14ac:dyDescent="0.25">
      <c r="A28" s="271" t="s">
        <v>576</v>
      </c>
      <c r="B28" s="97"/>
      <c r="C28" s="98"/>
      <c r="D28" s="98"/>
      <c r="E28" s="267"/>
      <c r="F28" s="101"/>
      <c r="G28" s="13">
        <v>30000</v>
      </c>
    </row>
    <row r="29" spans="1:10" x14ac:dyDescent="0.25">
      <c r="A29" s="271" t="s">
        <v>535</v>
      </c>
      <c r="B29" s="97"/>
      <c r="C29" s="98"/>
      <c r="D29" s="98"/>
      <c r="E29" s="267"/>
      <c r="F29" s="101"/>
      <c r="G29" s="13">
        <v>50000</v>
      </c>
      <c r="I29" s="137"/>
      <c r="J29" s="137"/>
    </row>
    <row r="30" spans="1:10" x14ac:dyDescent="0.25">
      <c r="A30" s="419" t="s">
        <v>575</v>
      </c>
      <c r="B30" s="97"/>
      <c r="C30" s="98"/>
      <c r="D30" s="98"/>
      <c r="E30" s="267"/>
      <c r="F30" s="101"/>
      <c r="G30" s="13"/>
    </row>
    <row r="31" spans="1:10" x14ac:dyDescent="0.25">
      <c r="A31" s="271" t="s">
        <v>538</v>
      </c>
      <c r="B31" s="97"/>
      <c r="C31" s="98"/>
      <c r="D31" s="98"/>
      <c r="E31" s="267"/>
      <c r="F31" s="101"/>
      <c r="G31" s="13">
        <v>134640</v>
      </c>
    </row>
    <row r="32" spans="1:10" x14ac:dyDescent="0.25">
      <c r="A32" s="271" t="s">
        <v>574</v>
      </c>
      <c r="B32" s="97"/>
      <c r="C32" s="267"/>
      <c r="D32" s="220"/>
      <c r="E32" s="267"/>
      <c r="F32" s="220"/>
      <c r="G32" s="13">
        <v>58860</v>
      </c>
    </row>
    <row r="33" spans="1:8" x14ac:dyDescent="0.25">
      <c r="A33" s="271" t="s">
        <v>573</v>
      </c>
      <c r="B33" s="97"/>
      <c r="C33" s="98"/>
      <c r="D33" s="98"/>
      <c r="E33" s="267"/>
      <c r="F33" s="101"/>
      <c r="G33" s="13">
        <v>15000</v>
      </c>
    </row>
    <row r="34" spans="1:8" x14ac:dyDescent="0.25">
      <c r="A34" s="271" t="s">
        <v>572</v>
      </c>
      <c r="B34" s="97"/>
      <c r="C34" s="98"/>
      <c r="D34" s="98"/>
      <c r="E34" s="267"/>
      <c r="F34" s="101"/>
      <c r="G34" s="13">
        <v>60000</v>
      </c>
    </row>
    <row r="35" spans="1:8" x14ac:dyDescent="0.25">
      <c r="A35" s="423" t="s">
        <v>571</v>
      </c>
      <c r="B35" s="97"/>
      <c r="C35" s="98"/>
      <c r="D35" s="98"/>
      <c r="E35" s="267"/>
      <c r="F35" s="101"/>
      <c r="G35" s="13"/>
    </row>
    <row r="36" spans="1:8" x14ac:dyDescent="0.25">
      <c r="A36" s="422" t="s">
        <v>446</v>
      </c>
      <c r="B36" s="97"/>
      <c r="C36" s="220"/>
      <c r="D36" s="220"/>
      <c r="E36" s="267"/>
      <c r="F36" s="235"/>
      <c r="G36" s="220">
        <v>112000</v>
      </c>
    </row>
    <row r="37" spans="1:8" x14ac:dyDescent="0.25">
      <c r="A37" s="271" t="s">
        <v>570</v>
      </c>
      <c r="B37" s="97"/>
      <c r="C37" s="220"/>
      <c r="D37" s="220"/>
      <c r="E37" s="267"/>
      <c r="F37" s="235"/>
      <c r="G37" s="220">
        <v>165000</v>
      </c>
    </row>
    <row r="38" spans="1:8" x14ac:dyDescent="0.25">
      <c r="A38" s="271" t="s">
        <v>569</v>
      </c>
      <c r="B38" s="97"/>
      <c r="C38" s="220"/>
      <c r="D38" s="220"/>
      <c r="E38" s="267"/>
      <c r="F38" s="235"/>
      <c r="G38" s="220">
        <v>23000</v>
      </c>
    </row>
    <row r="39" spans="1:8" x14ac:dyDescent="0.25">
      <c r="A39" s="419" t="s">
        <v>568</v>
      </c>
      <c r="B39" s="97"/>
      <c r="C39" s="220"/>
      <c r="D39" s="220"/>
      <c r="E39" s="267"/>
      <c r="F39" s="235"/>
      <c r="G39" s="220"/>
    </row>
    <row r="40" spans="1:8" x14ac:dyDescent="0.25">
      <c r="A40" s="271" t="s">
        <v>567</v>
      </c>
      <c r="B40" s="97"/>
      <c r="C40" s="220"/>
      <c r="D40" s="220"/>
      <c r="E40" s="267"/>
      <c r="F40" s="235"/>
      <c r="G40" s="220">
        <v>44000</v>
      </c>
      <c r="H40" s="137"/>
    </row>
    <row r="41" spans="1:8" x14ac:dyDescent="0.25">
      <c r="A41" s="271" t="s">
        <v>566</v>
      </c>
      <c r="B41" s="97"/>
      <c r="C41" s="220"/>
      <c r="D41" s="220"/>
      <c r="E41" s="267"/>
      <c r="F41" s="235"/>
      <c r="G41" s="220">
        <v>12000</v>
      </c>
    </row>
    <row r="42" spans="1:8" x14ac:dyDescent="0.25">
      <c r="A42" s="271" t="s">
        <v>565</v>
      </c>
      <c r="B42" s="97"/>
      <c r="C42" s="220"/>
      <c r="D42" s="220"/>
      <c r="E42" s="267"/>
      <c r="F42" s="235"/>
      <c r="G42" s="220">
        <v>10000</v>
      </c>
    </row>
    <row r="43" spans="1:8" x14ac:dyDescent="0.25">
      <c r="A43" s="271" t="s">
        <v>564</v>
      </c>
      <c r="B43" s="97"/>
      <c r="C43" s="220"/>
      <c r="D43" s="267"/>
      <c r="E43" s="267"/>
      <c r="F43" s="235"/>
      <c r="G43" s="220">
        <v>24000</v>
      </c>
    </row>
    <row r="44" spans="1:8" x14ac:dyDescent="0.25">
      <c r="A44" s="271" t="s">
        <v>563</v>
      </c>
      <c r="B44" s="97"/>
      <c r="C44" s="220"/>
      <c r="D44" s="220"/>
      <c r="E44" s="267"/>
      <c r="F44" s="235"/>
      <c r="G44" s="220">
        <v>1000</v>
      </c>
    </row>
    <row r="45" spans="1:8" x14ac:dyDescent="0.25">
      <c r="A45" s="271" t="s">
        <v>562</v>
      </c>
      <c r="B45" s="97"/>
      <c r="C45" s="220"/>
      <c r="D45" s="220"/>
      <c r="E45" s="267"/>
      <c r="F45" s="235"/>
      <c r="G45" s="220">
        <v>2000</v>
      </c>
    </row>
    <row r="46" spans="1:8" x14ac:dyDescent="0.25">
      <c r="A46" s="271" t="s">
        <v>561</v>
      </c>
      <c r="B46" s="97"/>
      <c r="C46" s="220"/>
      <c r="D46" s="220"/>
      <c r="E46" s="267"/>
      <c r="F46" s="235"/>
      <c r="G46" s="220">
        <v>7000</v>
      </c>
    </row>
    <row r="47" spans="1:8" x14ac:dyDescent="0.25">
      <c r="A47" s="419" t="s">
        <v>464</v>
      </c>
      <c r="B47" s="97"/>
      <c r="C47" s="98"/>
      <c r="D47" s="98"/>
      <c r="E47" s="267"/>
      <c r="F47" s="101"/>
      <c r="G47" s="13"/>
    </row>
    <row r="48" spans="1:8" x14ac:dyDescent="0.25">
      <c r="A48" s="271" t="s">
        <v>560</v>
      </c>
      <c r="B48" s="97"/>
      <c r="C48" s="98"/>
      <c r="D48" s="98"/>
      <c r="E48" s="267"/>
      <c r="F48" s="101"/>
      <c r="G48" s="13">
        <v>20000</v>
      </c>
    </row>
    <row r="49" spans="1:7" x14ac:dyDescent="0.25">
      <c r="A49" s="271" t="s">
        <v>559</v>
      </c>
      <c r="B49" s="97"/>
      <c r="C49" s="98"/>
      <c r="D49" s="98"/>
      <c r="E49" s="267"/>
      <c r="F49" s="101"/>
      <c r="G49" s="13">
        <v>15000</v>
      </c>
    </row>
    <row r="50" spans="1:7" x14ac:dyDescent="0.25">
      <c r="A50" s="271" t="s">
        <v>558</v>
      </c>
      <c r="B50" s="97"/>
      <c r="C50" s="98"/>
      <c r="D50" s="98"/>
      <c r="E50" s="267"/>
      <c r="F50" s="101"/>
      <c r="G50" s="13">
        <v>15000</v>
      </c>
    </row>
    <row r="51" spans="1:7" x14ac:dyDescent="0.25">
      <c r="A51" s="419" t="s">
        <v>557</v>
      </c>
      <c r="B51" s="97"/>
      <c r="C51" s="98"/>
      <c r="D51" s="98"/>
      <c r="E51" s="267"/>
      <c r="F51" s="101"/>
      <c r="G51" s="13"/>
    </row>
    <row r="52" spans="1:7" x14ac:dyDescent="0.25">
      <c r="A52" s="420" t="s">
        <v>556</v>
      </c>
      <c r="B52" s="97"/>
      <c r="C52" s="98"/>
      <c r="D52" s="98"/>
      <c r="E52" s="267"/>
      <c r="F52" s="101"/>
      <c r="G52" s="13">
        <v>52000</v>
      </c>
    </row>
    <row r="53" spans="1:7" x14ac:dyDescent="0.25">
      <c r="A53" s="420" t="s">
        <v>555</v>
      </c>
      <c r="B53" s="97"/>
      <c r="C53" s="98"/>
      <c r="D53" s="98"/>
      <c r="E53" s="267"/>
      <c r="F53" s="98"/>
      <c r="G53" s="13">
        <v>73800</v>
      </c>
    </row>
    <row r="54" spans="1:7" x14ac:dyDescent="0.25">
      <c r="A54" s="420" t="s">
        <v>554</v>
      </c>
      <c r="B54" s="97"/>
      <c r="C54" s="98"/>
      <c r="D54" s="98"/>
      <c r="E54" s="267"/>
      <c r="F54" s="98"/>
      <c r="G54" s="13">
        <v>50000</v>
      </c>
    </row>
    <row r="55" spans="1:7" x14ac:dyDescent="0.25">
      <c r="A55" s="420" t="s">
        <v>553</v>
      </c>
      <c r="B55" s="97"/>
      <c r="C55" s="220"/>
      <c r="D55" s="220"/>
      <c r="E55" s="267"/>
      <c r="F55" s="220"/>
      <c r="G55" s="13">
        <v>37800</v>
      </c>
    </row>
    <row r="56" spans="1:7" x14ac:dyDescent="0.25">
      <c r="A56" s="420" t="s">
        <v>34</v>
      </c>
      <c r="B56" s="97">
        <v>50203070</v>
      </c>
      <c r="C56" s="220"/>
      <c r="D56" s="220"/>
      <c r="E56" s="267"/>
      <c r="F56" s="220"/>
      <c r="G56" s="13">
        <v>100000</v>
      </c>
    </row>
    <row r="57" spans="1:7" x14ac:dyDescent="0.25">
      <c r="A57" s="420" t="s">
        <v>552</v>
      </c>
      <c r="B57" s="97">
        <v>50211990</v>
      </c>
      <c r="C57" s="220"/>
      <c r="D57" s="220"/>
      <c r="E57" s="267"/>
      <c r="F57" s="220"/>
      <c r="G57" s="13">
        <v>522720</v>
      </c>
    </row>
    <row r="58" spans="1:7" x14ac:dyDescent="0.25">
      <c r="A58" s="420" t="s">
        <v>551</v>
      </c>
      <c r="B58" s="97">
        <v>50299990</v>
      </c>
      <c r="C58" s="220"/>
      <c r="D58" s="220"/>
      <c r="E58" s="267"/>
      <c r="F58" s="220"/>
      <c r="G58" s="13">
        <v>294720</v>
      </c>
    </row>
    <row r="59" spans="1:7" x14ac:dyDescent="0.25">
      <c r="A59" s="420" t="s">
        <v>550</v>
      </c>
      <c r="B59" s="97"/>
      <c r="C59" s="220"/>
      <c r="D59" s="220"/>
      <c r="E59" s="267"/>
      <c r="F59" s="220"/>
      <c r="G59" s="13">
        <v>192000</v>
      </c>
    </row>
    <row r="60" spans="1:7" x14ac:dyDescent="0.25">
      <c r="A60" s="420" t="s">
        <v>194</v>
      </c>
      <c r="B60" s="97"/>
      <c r="C60" s="220"/>
      <c r="D60" s="220"/>
      <c r="E60" s="267"/>
      <c r="F60" s="220"/>
      <c r="G60" s="13">
        <v>150000</v>
      </c>
    </row>
    <row r="61" spans="1:7" x14ac:dyDescent="0.25">
      <c r="A61" s="420" t="s">
        <v>59</v>
      </c>
      <c r="B61" s="97"/>
      <c r="C61" s="220"/>
      <c r="D61" s="220"/>
      <c r="E61" s="267"/>
      <c r="F61" s="220"/>
      <c r="G61" s="13">
        <v>30000</v>
      </c>
    </row>
    <row r="62" spans="1:7" x14ac:dyDescent="0.25">
      <c r="A62" s="420" t="s">
        <v>549</v>
      </c>
      <c r="B62" s="97"/>
      <c r="C62" s="220"/>
      <c r="D62" s="220"/>
      <c r="E62" s="267"/>
      <c r="F62" s="220"/>
      <c r="G62" s="13">
        <v>100000</v>
      </c>
    </row>
    <row r="63" spans="1:7" x14ac:dyDescent="0.25">
      <c r="A63" s="421" t="s">
        <v>548</v>
      </c>
      <c r="B63" s="97"/>
      <c r="C63" s="220"/>
      <c r="D63" s="220"/>
      <c r="E63" s="267"/>
      <c r="F63" s="220"/>
      <c r="G63" s="13"/>
    </row>
    <row r="64" spans="1:7" x14ac:dyDescent="0.25">
      <c r="A64" s="420" t="s">
        <v>547</v>
      </c>
      <c r="B64" s="97"/>
      <c r="C64" s="220"/>
      <c r="D64" s="220"/>
      <c r="E64" s="267"/>
      <c r="F64" s="220"/>
      <c r="G64" s="13">
        <v>150000</v>
      </c>
    </row>
    <row r="65" spans="1:7" x14ac:dyDescent="0.25">
      <c r="A65" s="420" t="s">
        <v>546</v>
      </c>
      <c r="B65" s="97"/>
      <c r="C65" s="220"/>
      <c r="D65" s="220"/>
      <c r="E65" s="267"/>
      <c r="F65" s="220"/>
      <c r="G65" s="13">
        <v>2748</v>
      </c>
    </row>
    <row r="66" spans="1:7" x14ac:dyDescent="0.25">
      <c r="A66" s="420" t="s">
        <v>545</v>
      </c>
      <c r="B66" s="97"/>
      <c r="C66" s="220"/>
      <c r="D66" s="220"/>
      <c r="E66" s="267"/>
      <c r="F66" s="220"/>
      <c r="G66" s="13">
        <v>5000</v>
      </c>
    </row>
    <row r="67" spans="1:7" x14ac:dyDescent="0.25">
      <c r="A67" s="420" t="s">
        <v>544</v>
      </c>
      <c r="B67" s="97"/>
      <c r="C67" s="220"/>
      <c r="D67" s="220"/>
      <c r="E67" s="267"/>
      <c r="F67" s="220"/>
      <c r="G67" s="13">
        <v>6000</v>
      </c>
    </row>
    <row r="68" spans="1:7" x14ac:dyDescent="0.25">
      <c r="A68" s="420" t="s">
        <v>543</v>
      </c>
      <c r="B68" s="97"/>
      <c r="C68" s="220"/>
      <c r="D68" s="220"/>
      <c r="E68" s="267"/>
      <c r="F68" s="220"/>
      <c r="G68" s="13">
        <v>50000</v>
      </c>
    </row>
    <row r="69" spans="1:7" x14ac:dyDescent="0.25">
      <c r="A69" s="419" t="s">
        <v>542</v>
      </c>
      <c r="B69" s="97"/>
      <c r="C69" s="220"/>
      <c r="D69" s="220"/>
      <c r="E69" s="267"/>
      <c r="F69" s="220"/>
      <c r="G69" s="13"/>
    </row>
    <row r="70" spans="1:7" x14ac:dyDescent="0.25">
      <c r="A70" s="271" t="s">
        <v>541</v>
      </c>
      <c r="B70" s="97"/>
      <c r="C70" s="220"/>
      <c r="D70" s="220"/>
      <c r="E70" s="267"/>
      <c r="F70" s="220"/>
      <c r="G70" s="13">
        <v>25200</v>
      </c>
    </row>
    <row r="71" spans="1:7" x14ac:dyDescent="0.25">
      <c r="A71" s="271" t="s">
        <v>540</v>
      </c>
      <c r="B71" s="97"/>
      <c r="C71" s="220"/>
      <c r="D71" s="220"/>
      <c r="E71" s="267"/>
      <c r="F71" s="220"/>
      <c r="G71" s="13">
        <v>74800</v>
      </c>
    </row>
    <row r="72" spans="1:7" x14ac:dyDescent="0.25">
      <c r="A72" s="419" t="s">
        <v>539</v>
      </c>
      <c r="B72" s="97"/>
      <c r="C72" s="220"/>
      <c r="D72" s="220"/>
      <c r="E72" s="267"/>
      <c r="F72" s="220"/>
      <c r="G72" s="13"/>
    </row>
    <row r="73" spans="1:7" x14ac:dyDescent="0.25">
      <c r="A73" s="271" t="s">
        <v>538</v>
      </c>
      <c r="B73" s="97"/>
      <c r="C73" s="220"/>
      <c r="D73" s="220"/>
      <c r="E73" s="267"/>
      <c r="F73" s="220"/>
      <c r="G73" s="13">
        <v>564000</v>
      </c>
    </row>
    <row r="74" spans="1:7" x14ac:dyDescent="0.25">
      <c r="A74" s="271" t="s">
        <v>537</v>
      </c>
      <c r="B74" s="97"/>
      <c r="C74" s="220"/>
      <c r="D74" s="220"/>
      <c r="E74" s="267"/>
      <c r="F74" s="220"/>
      <c r="G74" s="13">
        <v>80000</v>
      </c>
    </row>
    <row r="75" spans="1:7" x14ac:dyDescent="0.25">
      <c r="A75" s="271" t="s">
        <v>536</v>
      </c>
      <c r="B75" s="97"/>
      <c r="C75" s="220"/>
      <c r="D75" s="220"/>
      <c r="E75" s="267"/>
      <c r="F75" s="220"/>
      <c r="G75" s="13">
        <v>50000</v>
      </c>
    </row>
    <row r="76" spans="1:7" x14ac:dyDescent="0.25">
      <c r="A76" s="271" t="s">
        <v>535</v>
      </c>
      <c r="B76" s="97"/>
      <c r="C76" s="220"/>
      <c r="D76" s="220"/>
      <c r="E76" s="267"/>
      <c r="F76" s="220"/>
      <c r="G76" s="13">
        <v>50000</v>
      </c>
    </row>
    <row r="77" spans="1:7" x14ac:dyDescent="0.25">
      <c r="A77" s="419" t="s">
        <v>534</v>
      </c>
      <c r="B77" s="97"/>
      <c r="C77" s="418"/>
      <c r="D77" s="220"/>
      <c r="E77" s="267"/>
      <c r="F77" s="220"/>
      <c r="G77" s="13"/>
    </row>
    <row r="78" spans="1:7" x14ac:dyDescent="0.25">
      <c r="A78" s="271" t="s">
        <v>533</v>
      </c>
      <c r="B78" s="97"/>
      <c r="C78" s="418"/>
      <c r="D78" s="220"/>
      <c r="E78" s="267"/>
      <c r="F78" s="220"/>
      <c r="G78" s="13">
        <v>100000</v>
      </c>
    </row>
    <row r="79" spans="1:7" x14ac:dyDescent="0.25">
      <c r="A79" s="417" t="s">
        <v>532</v>
      </c>
      <c r="B79" s="97"/>
      <c r="C79" s="416"/>
      <c r="D79" s="220"/>
      <c r="E79" s="267"/>
      <c r="F79" s="220"/>
      <c r="G79" s="13">
        <v>150000</v>
      </c>
    </row>
    <row r="80" spans="1:7" x14ac:dyDescent="0.25">
      <c r="A80" s="415" t="s">
        <v>62</v>
      </c>
      <c r="B80" s="414"/>
      <c r="C80" s="413"/>
      <c r="D80" s="412"/>
      <c r="E80" s="387"/>
      <c r="F80" s="412"/>
      <c r="G80" s="411">
        <f>SUM(G14:G79)</f>
        <v>5118088</v>
      </c>
    </row>
    <row r="81" spans="1:7" ht="18.75" x14ac:dyDescent="0.3">
      <c r="A81" s="409" t="s">
        <v>68</v>
      </c>
      <c r="B81" s="409" t="s">
        <v>69</v>
      </c>
      <c r="C81" s="409"/>
      <c r="D81" s="409"/>
      <c r="E81" s="409" t="s">
        <v>70</v>
      </c>
      <c r="F81" s="409"/>
      <c r="G81" s="409"/>
    </row>
    <row r="82" spans="1:7" ht="18.75" x14ac:dyDescent="0.3">
      <c r="A82" s="409"/>
      <c r="B82" s="409"/>
      <c r="C82" s="409"/>
      <c r="D82" s="409"/>
      <c r="E82" s="409"/>
      <c r="F82" s="409"/>
      <c r="G82" s="409"/>
    </row>
    <row r="83" spans="1:7" ht="18.75" x14ac:dyDescent="0.3">
      <c r="A83" s="410" t="s">
        <v>531</v>
      </c>
      <c r="B83" s="410" t="str">
        <f>MO!B69</f>
        <v>JEAN JANIOLA-DELA PEṄA</v>
      </c>
      <c r="C83" s="409"/>
      <c r="D83" s="409"/>
      <c r="E83" s="410" t="s">
        <v>530</v>
      </c>
      <c r="F83" s="409"/>
      <c r="G83" s="409"/>
    </row>
    <row r="84" spans="1:7" ht="18.75" x14ac:dyDescent="0.3">
      <c r="A84" s="409" t="s">
        <v>262</v>
      </c>
      <c r="B84" s="409" t="s">
        <v>265</v>
      </c>
      <c r="C84" s="409"/>
      <c r="D84" s="409"/>
      <c r="E84" s="409" t="s">
        <v>529</v>
      </c>
      <c r="F84" s="409"/>
      <c r="G84" s="409"/>
    </row>
    <row r="85" spans="1:7" ht="21" x14ac:dyDescent="0.35">
      <c r="A85" s="158"/>
      <c r="B85" s="158"/>
      <c r="C85" s="158"/>
      <c r="D85" s="158"/>
      <c r="E85" s="158"/>
      <c r="F85" s="158"/>
      <c r="G85" s="158"/>
    </row>
    <row r="86" spans="1:7" ht="21" x14ac:dyDescent="0.35">
      <c r="A86" s="158"/>
      <c r="B86" s="158"/>
      <c r="C86" s="158"/>
      <c r="D86" s="158"/>
      <c r="E86" s="158"/>
      <c r="F86" s="158"/>
      <c r="G86" s="158"/>
    </row>
    <row r="87" spans="1:7" ht="21" x14ac:dyDescent="0.35">
      <c r="A87" s="158"/>
      <c r="B87" s="158"/>
      <c r="C87" s="158"/>
      <c r="D87" s="158"/>
      <c r="E87" s="158"/>
      <c r="F87" s="158"/>
      <c r="G87" s="158"/>
    </row>
    <row r="88" spans="1:7" ht="21" x14ac:dyDescent="0.35">
      <c r="A88" s="158"/>
      <c r="B88" s="158"/>
      <c r="C88" s="158"/>
      <c r="D88" s="158"/>
      <c r="E88" s="158"/>
      <c r="F88" s="158"/>
      <c r="G88" s="158"/>
    </row>
    <row r="89" spans="1:7" ht="21" x14ac:dyDescent="0.35">
      <c r="A89" s="158"/>
      <c r="B89" s="158"/>
      <c r="C89" s="158"/>
      <c r="D89" s="158"/>
      <c r="E89" s="158"/>
      <c r="F89" s="158"/>
      <c r="G89" s="158"/>
    </row>
    <row r="90" spans="1:7" ht="21" x14ac:dyDescent="0.35">
      <c r="A90" s="158"/>
      <c r="B90" s="158"/>
      <c r="C90" s="158"/>
      <c r="D90" s="158"/>
      <c r="E90" s="158"/>
      <c r="F90" s="158"/>
      <c r="G90" s="158"/>
    </row>
    <row r="91" spans="1:7" ht="21" x14ac:dyDescent="0.35">
      <c r="A91" s="158"/>
    </row>
  </sheetData>
  <sheetProtection password="CCFC" sheet="1" objects="1" scenarios="1" selectLockedCells="1" selectUnlockedCells="1"/>
  <mergeCells count="5">
    <mergeCell ref="A3:G3"/>
    <mergeCell ref="A4:G4"/>
    <mergeCell ref="A7:A8"/>
    <mergeCell ref="B7:B8"/>
    <mergeCell ref="D7:F7"/>
  </mergeCells>
  <conditionalFormatting sqref="A53:D69 F53:G69">
    <cfRule type="expression" dxfId="53" priority="25">
      <formula>ISNUMBER(SEARCH($A$2,A43))</formula>
    </cfRule>
  </conditionalFormatting>
  <conditionalFormatting sqref="I22">
    <cfRule type="expression" dxfId="52" priority="24">
      <formula>ISNUMBER(SEARCH($A$2,F14))</formula>
    </cfRule>
  </conditionalFormatting>
  <conditionalFormatting sqref="I21 A21:D21 A33:D33 A37:D39 A41:D42 A45:D46 A50:D52 G21 A26:D31 G28:G31 G33 G50:G52">
    <cfRule type="expression" dxfId="51" priority="23">
      <formula>ISNUMBER(SEARCH($A$2,#REF!))</formula>
    </cfRule>
  </conditionalFormatting>
  <conditionalFormatting sqref="A32:D32 G32 E21:E69">
    <cfRule type="expression" dxfId="50" priority="22">
      <formula>ISNUMBER(SEARCH($A$2,A12))</formula>
    </cfRule>
  </conditionalFormatting>
  <conditionalFormatting sqref="G22 A22:D22 G14:G16 A15:D16 E15:E19 A14:E14">
    <cfRule type="expression" dxfId="49" priority="21">
      <formula>ISNUMBER(SEARCH($A$2,A6))</formula>
    </cfRule>
  </conditionalFormatting>
  <conditionalFormatting sqref="A47:D49 G47:G49 A12:G13 A19:D20 F19:G20">
    <cfRule type="expression" dxfId="48" priority="20">
      <formula>ISNUMBER(SEARCH($A$2,A5))</formula>
    </cfRule>
  </conditionalFormatting>
  <conditionalFormatting sqref="G23 A23:D25">
    <cfRule type="expression" dxfId="47" priority="19">
      <formula>ISNUMBER(SEARCH($A$2,A20))</formula>
    </cfRule>
  </conditionalFormatting>
  <conditionalFormatting sqref="A34:D34 A40:D40 G34 A17:D17 F17:G17">
    <cfRule type="expression" dxfId="46" priority="18">
      <formula>ISNUMBER(SEARCH($A$2,A11))</formula>
    </cfRule>
  </conditionalFormatting>
  <conditionalFormatting sqref="A35:D36 G35">
    <cfRule type="expression" dxfId="45" priority="17">
      <formula>ISNUMBER(SEARCH($A$2,A31))</formula>
    </cfRule>
  </conditionalFormatting>
  <conditionalFormatting sqref="A43:D44">
    <cfRule type="expression" dxfId="44" priority="16">
      <formula>ISNUMBER(SEARCH($A$2,A38))</formula>
    </cfRule>
  </conditionalFormatting>
  <conditionalFormatting sqref="F21 F33 F37:G39 F41:G42 F45:G46 F50:F52 F25:F31">
    <cfRule type="expression" dxfId="43" priority="15">
      <formula>ISNUMBER(SEARCH($A$2,#REF!))</formula>
    </cfRule>
  </conditionalFormatting>
  <conditionalFormatting sqref="G40">
    <cfRule type="expression" dxfId="42" priority="14">
      <formula>ISNUMBER(SEARCH($A$2,G34))</formula>
    </cfRule>
  </conditionalFormatting>
  <conditionalFormatting sqref="G36">
    <cfRule type="expression" dxfId="41" priority="13">
      <formula>ISNUMBER(SEARCH($A$2,G32))</formula>
    </cfRule>
  </conditionalFormatting>
  <conditionalFormatting sqref="G43:G44">
    <cfRule type="expression" dxfId="40" priority="12">
      <formula>ISNUMBER(SEARCH($A$2,G38))</formula>
    </cfRule>
  </conditionalFormatting>
  <conditionalFormatting sqref="F14:F16">
    <cfRule type="expression" dxfId="39" priority="11">
      <formula>ISNUMBER(SEARCH($A$2,F6))</formula>
    </cfRule>
  </conditionalFormatting>
  <conditionalFormatting sqref="F23">
    <cfRule type="expression" dxfId="38" priority="10">
      <formula>ISNUMBER(SEARCH($A$2,F20))</formula>
    </cfRule>
  </conditionalFormatting>
  <conditionalFormatting sqref="G24">
    <cfRule type="expression" dxfId="37" priority="9">
      <formula>ISNUMBER(SEARCH($A$2,G21))</formula>
    </cfRule>
  </conditionalFormatting>
  <conditionalFormatting sqref="F32">
    <cfRule type="expression" dxfId="36" priority="8">
      <formula>ISNUMBER(SEARCH($A$2,F23))</formula>
    </cfRule>
  </conditionalFormatting>
  <conditionalFormatting sqref="F24">
    <cfRule type="expression" dxfId="35" priority="7">
      <formula>ISNUMBER(SEARCH($A$2,F21))</formula>
    </cfRule>
  </conditionalFormatting>
  <conditionalFormatting sqref="F34">
    <cfRule type="expression" dxfId="34" priority="6">
      <formula>ISNUMBER(SEARCH($A$2,F28))</formula>
    </cfRule>
  </conditionalFormatting>
  <conditionalFormatting sqref="F35">
    <cfRule type="expression" dxfId="33" priority="5">
      <formula>ISNUMBER(SEARCH($A$2,F31))</formula>
    </cfRule>
  </conditionalFormatting>
  <conditionalFormatting sqref="F47:F49">
    <cfRule type="expression" dxfId="32" priority="4">
      <formula>ISNUMBER(SEARCH($A$2,F40))</formula>
    </cfRule>
  </conditionalFormatting>
  <conditionalFormatting sqref="F40">
    <cfRule type="expression" dxfId="31" priority="3">
      <formula>ISNUMBER(SEARCH($A$2,F34))</formula>
    </cfRule>
  </conditionalFormatting>
  <conditionalFormatting sqref="F36">
    <cfRule type="expression" dxfId="30" priority="2">
      <formula>ISNUMBER(SEARCH($A$2,F32))</formula>
    </cfRule>
  </conditionalFormatting>
  <conditionalFormatting sqref="F43:F44">
    <cfRule type="expression" dxfId="29" priority="1">
      <formula>ISNUMBER(SEARCH($A$2,F38))</formula>
    </cfRule>
  </conditionalFormatting>
  <conditionalFormatting sqref="A77:D79 F77:G80">
    <cfRule type="expression" dxfId="28" priority="26">
      <formula>ISNUMBER(SEARCH($A$2,A46))</formula>
    </cfRule>
  </conditionalFormatting>
  <conditionalFormatting sqref="E77:E80">
    <cfRule type="expression" dxfId="27" priority="27">
      <formula>ISNUMBER(SEARCH($A$2,E47))</formula>
    </cfRule>
  </conditionalFormatting>
  <conditionalFormatting sqref="A73:D76 F73:G76">
    <cfRule type="expression" dxfId="26" priority="28">
      <formula>ISNUMBER(SEARCH($A$2,A46))</formula>
    </cfRule>
  </conditionalFormatting>
  <conditionalFormatting sqref="E73:E76">
    <cfRule type="expression" dxfId="25" priority="29">
      <formula>ISNUMBER(SEARCH($A$2,E47))</formula>
    </cfRule>
  </conditionalFormatting>
  <conditionalFormatting sqref="A71:D72 F71:G72">
    <cfRule type="expression" dxfId="24" priority="30">
      <formula>ISNUMBER(SEARCH($A$2,A48))</formula>
    </cfRule>
  </conditionalFormatting>
  <conditionalFormatting sqref="E71:E72">
    <cfRule type="expression" dxfId="23" priority="31">
      <formula>ISNUMBER(SEARCH($A$2,E49))</formula>
    </cfRule>
  </conditionalFormatting>
  <conditionalFormatting sqref="A70:D70 F70:G70">
    <cfRule type="expression" dxfId="22" priority="32">
      <formula>ISNUMBER(SEARCH($A$2,A55))</formula>
    </cfRule>
  </conditionalFormatting>
  <conditionalFormatting sqref="E70">
    <cfRule type="expression" dxfId="21" priority="33">
      <formula>ISNUMBER(SEARCH($A$2,E56))</formula>
    </cfRule>
  </conditionalFormatting>
  <conditionalFormatting sqref="A80:D80">
    <cfRule type="expression" dxfId="20" priority="34">
      <formula>ISNUMBER(SEARCH($A$2,A49))</formula>
    </cfRule>
  </conditionalFormatting>
  <conditionalFormatting sqref="E20">
    <cfRule type="expression" dxfId="19" priority="35">
      <formula>ISNUMBER(SEARCH($A$2,#REF!))</formula>
    </cfRule>
  </conditionalFormatting>
  <conditionalFormatting sqref="A18:D18 F18:G18">
    <cfRule type="expression" dxfId="18" priority="36">
      <formula>ISNUMBER(SEARCH($A$2,#REF!))</formula>
    </cfRule>
  </conditionalFormatting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52" workbookViewId="0">
      <selection activeCell="A71" sqref="A71:D71"/>
    </sheetView>
  </sheetViews>
  <sheetFormatPr defaultRowHeight="15" x14ac:dyDescent="0.25"/>
  <cols>
    <col min="1" max="1" width="53.42578125" style="88" customWidth="1"/>
    <col min="2" max="2" width="8.7109375" style="88" customWidth="1"/>
    <col min="3" max="3" width="7.85546875" style="88" customWidth="1"/>
    <col min="4" max="4" width="9.140625" style="88" customWidth="1"/>
    <col min="5" max="5" width="9.5703125" style="88" customWidth="1"/>
    <col min="6" max="6" width="11.7109375" style="88" customWidth="1"/>
    <col min="7" max="7" width="13" style="88" customWidth="1"/>
    <col min="8" max="8" width="17.85546875" style="88" customWidth="1"/>
    <col min="9" max="9" width="13.7109375" style="88" bestFit="1" customWidth="1"/>
    <col min="10" max="16384" width="9.140625" style="88"/>
  </cols>
  <sheetData>
    <row r="1" spans="1:7" ht="15.75" customHeight="1" x14ac:dyDescent="0.25">
      <c r="A1" s="88" t="s">
        <v>9</v>
      </c>
      <c r="G1" s="137" t="s">
        <v>96</v>
      </c>
    </row>
    <row r="2" spans="1:7" ht="21" x14ac:dyDescent="0.35">
      <c r="A2" s="586" t="s">
        <v>10</v>
      </c>
      <c r="B2" s="586"/>
      <c r="C2" s="586"/>
      <c r="D2" s="586"/>
      <c r="E2" s="586"/>
      <c r="F2" s="586"/>
      <c r="G2" s="586"/>
    </row>
    <row r="3" spans="1:7" ht="21" x14ac:dyDescent="0.35">
      <c r="A3" s="586" t="s">
        <v>127</v>
      </c>
      <c r="B3" s="586"/>
      <c r="C3" s="586"/>
      <c r="D3" s="586"/>
      <c r="E3" s="586"/>
      <c r="F3" s="586"/>
      <c r="G3" s="586"/>
    </row>
    <row r="4" spans="1:7" ht="21" x14ac:dyDescent="0.35">
      <c r="A4" s="480" t="s">
        <v>650</v>
      </c>
      <c r="B4" s="480"/>
      <c r="C4" s="480"/>
      <c r="D4" s="480"/>
      <c r="E4" s="480"/>
      <c r="F4" s="480"/>
      <c r="G4" s="158"/>
    </row>
    <row r="5" spans="1:7" ht="21" x14ac:dyDescent="0.35">
      <c r="A5" s="640" t="s">
        <v>649</v>
      </c>
      <c r="B5" s="640"/>
      <c r="C5" s="640"/>
      <c r="D5" s="640"/>
      <c r="E5" s="640"/>
      <c r="F5" s="480"/>
      <c r="G5" s="158"/>
    </row>
    <row r="7" spans="1:7" x14ac:dyDescent="0.25">
      <c r="A7" s="625" t="s">
        <v>0</v>
      </c>
      <c r="B7" s="589" t="s">
        <v>1</v>
      </c>
      <c r="C7" s="89"/>
      <c r="D7" s="587" t="s">
        <v>8</v>
      </c>
      <c r="E7" s="591"/>
      <c r="F7" s="592"/>
      <c r="G7" s="89" t="s">
        <v>3</v>
      </c>
    </row>
    <row r="8" spans="1:7" ht="60" x14ac:dyDescent="0.25">
      <c r="A8" s="626"/>
      <c r="B8" s="590"/>
      <c r="C8" s="270" t="s">
        <v>586</v>
      </c>
      <c r="D8" s="269" t="s">
        <v>102</v>
      </c>
      <c r="E8" s="269" t="s">
        <v>104</v>
      </c>
      <c r="F8" s="89" t="s">
        <v>5</v>
      </c>
      <c r="G8" s="90" t="s">
        <v>6</v>
      </c>
    </row>
    <row r="9" spans="1:7" x14ac:dyDescent="0.25">
      <c r="A9" s="90"/>
      <c r="B9" s="90"/>
      <c r="C9" s="90"/>
      <c r="D9" s="90" t="s">
        <v>4</v>
      </c>
      <c r="E9" s="90" t="s">
        <v>7</v>
      </c>
      <c r="F9" s="90"/>
      <c r="G9" s="90"/>
    </row>
    <row r="10" spans="1:7" x14ac:dyDescent="0.25">
      <c r="A10" s="90"/>
      <c r="B10" s="90"/>
      <c r="C10" s="90">
        <v>2016</v>
      </c>
      <c r="D10" s="90">
        <v>2017</v>
      </c>
      <c r="E10" s="90">
        <v>2017</v>
      </c>
      <c r="F10" s="90"/>
      <c r="G10" s="90">
        <v>2018</v>
      </c>
    </row>
    <row r="11" spans="1:7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</row>
    <row r="12" spans="1:7" ht="30" x14ac:dyDescent="0.25">
      <c r="A12" s="479" t="s">
        <v>648</v>
      </c>
      <c r="B12" s="89"/>
      <c r="C12" s="89"/>
      <c r="D12" s="89"/>
      <c r="E12" s="89"/>
      <c r="F12" s="89"/>
      <c r="G12" s="629">
        <v>50000</v>
      </c>
    </row>
    <row r="13" spans="1:7" x14ac:dyDescent="0.25">
      <c r="A13" s="478" t="s">
        <v>647</v>
      </c>
      <c r="B13" s="326"/>
      <c r="C13" s="326"/>
      <c r="D13" s="326"/>
      <c r="E13" s="326"/>
      <c r="F13" s="326"/>
      <c r="G13" s="630"/>
    </row>
    <row r="14" spans="1:7" ht="30" x14ac:dyDescent="0.25">
      <c r="A14" s="477" t="s">
        <v>646</v>
      </c>
      <c r="B14" s="89"/>
      <c r="C14" s="89"/>
      <c r="D14" s="89"/>
      <c r="E14" s="89"/>
      <c r="F14" s="89"/>
      <c r="G14" s="631">
        <v>15000</v>
      </c>
    </row>
    <row r="15" spans="1:7" x14ac:dyDescent="0.25">
      <c r="A15" s="476" t="s">
        <v>645</v>
      </c>
      <c r="B15" s="473"/>
      <c r="C15" s="439"/>
      <c r="D15" s="439"/>
      <c r="E15" s="439"/>
      <c r="F15" s="439"/>
      <c r="G15" s="632"/>
    </row>
    <row r="16" spans="1:7" ht="30" x14ac:dyDescent="0.25">
      <c r="A16" s="475" t="s">
        <v>644</v>
      </c>
      <c r="B16" s="162"/>
      <c r="C16" s="267"/>
      <c r="D16" s="267"/>
      <c r="E16" s="267"/>
      <c r="F16" s="267"/>
      <c r="G16" s="629">
        <v>248000</v>
      </c>
    </row>
    <row r="17" spans="1:10" x14ac:dyDescent="0.25">
      <c r="A17" s="399" t="s">
        <v>643</v>
      </c>
      <c r="B17" s="473"/>
      <c r="C17" s="439"/>
      <c r="D17" s="439"/>
      <c r="E17" s="439"/>
      <c r="F17" s="439">
        <v>72000</v>
      </c>
      <c r="G17" s="614"/>
      <c r="H17" s="137"/>
    </row>
    <row r="18" spans="1:10" x14ac:dyDescent="0.25">
      <c r="A18" s="472" t="s">
        <v>642</v>
      </c>
      <c r="B18" s="471"/>
      <c r="C18" s="364"/>
      <c r="D18" s="364"/>
      <c r="E18" s="387"/>
      <c r="F18" s="387">
        <v>38000</v>
      </c>
      <c r="G18" s="614"/>
      <c r="H18" s="137"/>
    </row>
    <row r="19" spans="1:10" x14ac:dyDescent="0.25">
      <c r="A19" s="474" t="s">
        <v>641</v>
      </c>
      <c r="B19" s="473"/>
      <c r="C19" s="344"/>
      <c r="D19" s="344"/>
      <c r="E19" s="439"/>
      <c r="F19" s="439">
        <v>20000</v>
      </c>
      <c r="G19" s="614"/>
    </row>
    <row r="20" spans="1:10" x14ac:dyDescent="0.25">
      <c r="A20" s="472" t="s">
        <v>640</v>
      </c>
      <c r="B20" s="471"/>
      <c r="C20" s="470"/>
      <c r="D20" s="364"/>
      <c r="E20" s="387"/>
      <c r="F20" s="387">
        <v>118000</v>
      </c>
      <c r="G20" s="630"/>
    </row>
    <row r="21" spans="1:10" x14ac:dyDescent="0.25">
      <c r="A21" s="469" t="s">
        <v>639</v>
      </c>
      <c r="B21" s="162"/>
      <c r="C21" s="93"/>
      <c r="D21" s="93"/>
      <c r="E21" s="267"/>
      <c r="F21" s="267"/>
      <c r="G21" s="93"/>
    </row>
    <row r="22" spans="1:10" x14ac:dyDescent="0.25">
      <c r="A22" s="425" t="s">
        <v>638</v>
      </c>
      <c r="B22" s="162"/>
      <c r="C22" s="93"/>
      <c r="D22" s="220"/>
      <c r="E22" s="267"/>
      <c r="F22" s="267"/>
      <c r="G22" s="93"/>
      <c r="I22" s="177"/>
      <c r="J22" s="236"/>
    </row>
    <row r="23" spans="1:10" x14ac:dyDescent="0.25">
      <c r="A23" s="468" t="s">
        <v>637</v>
      </c>
      <c r="B23" s="162"/>
      <c r="C23" s="93"/>
      <c r="D23" s="93"/>
      <c r="E23" s="267"/>
      <c r="F23" s="628">
        <v>10000</v>
      </c>
      <c r="G23" s="93"/>
      <c r="I23" s="237"/>
      <c r="J23" s="236"/>
    </row>
    <row r="24" spans="1:10" x14ac:dyDescent="0.25">
      <c r="A24" s="446" t="s">
        <v>636</v>
      </c>
      <c r="B24" s="440"/>
      <c r="C24" s="345"/>
      <c r="D24" s="345"/>
      <c r="E24" s="439"/>
      <c r="F24" s="633"/>
      <c r="G24" s="431"/>
    </row>
    <row r="25" spans="1:10" x14ac:dyDescent="0.25">
      <c r="A25" s="467" t="s">
        <v>635</v>
      </c>
      <c r="B25" s="466"/>
      <c r="C25" s="412"/>
      <c r="D25" s="387"/>
      <c r="E25" s="387"/>
      <c r="F25" s="387">
        <v>20000</v>
      </c>
      <c r="G25" s="267"/>
      <c r="H25" s="242"/>
      <c r="I25" s="236"/>
    </row>
    <row r="26" spans="1:10" x14ac:dyDescent="0.25">
      <c r="A26" s="464" t="s">
        <v>634</v>
      </c>
      <c r="B26" s="465"/>
      <c r="C26" s="412"/>
      <c r="D26" s="387"/>
      <c r="E26" s="387"/>
      <c r="F26" s="387">
        <v>10000</v>
      </c>
      <c r="G26" s="636">
        <v>658000</v>
      </c>
      <c r="H26" s="242"/>
      <c r="I26" s="236"/>
    </row>
    <row r="27" spans="1:10" x14ac:dyDescent="0.25">
      <c r="A27" s="464" t="s">
        <v>633</v>
      </c>
      <c r="B27" s="463"/>
      <c r="C27" s="412"/>
      <c r="D27" s="387"/>
      <c r="E27" s="387"/>
      <c r="F27" s="387">
        <v>10000</v>
      </c>
      <c r="G27" s="636"/>
      <c r="H27" s="242"/>
      <c r="I27" s="236"/>
    </row>
    <row r="28" spans="1:10" s="275" customFormat="1" x14ac:dyDescent="0.25">
      <c r="A28" s="420" t="s">
        <v>632</v>
      </c>
      <c r="B28" s="29"/>
      <c r="C28" s="220"/>
      <c r="D28" s="462"/>
      <c r="E28" s="267"/>
      <c r="F28" s="585">
        <v>135000</v>
      </c>
      <c r="G28" s="636"/>
      <c r="H28" s="242"/>
      <c r="I28" s="461"/>
    </row>
    <row r="29" spans="1:10" x14ac:dyDescent="0.25">
      <c r="A29" s="460" t="s">
        <v>631</v>
      </c>
      <c r="B29" s="459"/>
      <c r="C29" s="438"/>
      <c r="D29" s="345"/>
      <c r="E29" s="439"/>
      <c r="F29" s="635"/>
      <c r="G29" s="636"/>
      <c r="H29" s="458"/>
      <c r="I29" s="236"/>
    </row>
    <row r="30" spans="1:10" x14ac:dyDescent="0.25">
      <c r="A30" s="457" t="s">
        <v>630</v>
      </c>
      <c r="B30" s="97"/>
      <c r="C30" s="98"/>
      <c r="D30" s="98"/>
      <c r="E30" s="267"/>
      <c r="F30" s="634">
        <v>213000</v>
      </c>
      <c r="G30" s="431"/>
    </row>
    <row r="31" spans="1:10" x14ac:dyDescent="0.25">
      <c r="A31" s="456" t="s">
        <v>629</v>
      </c>
      <c r="B31" s="440"/>
      <c r="C31" s="345"/>
      <c r="D31" s="345"/>
      <c r="E31" s="439"/>
      <c r="F31" s="633"/>
      <c r="G31" s="431"/>
      <c r="I31" s="137"/>
      <c r="J31" s="137"/>
    </row>
    <row r="32" spans="1:10" x14ac:dyDescent="0.25">
      <c r="A32" s="455" t="s">
        <v>628</v>
      </c>
      <c r="B32" s="454"/>
      <c r="C32" s="453"/>
      <c r="D32" s="453"/>
      <c r="E32" s="452"/>
      <c r="F32" s="634">
        <v>210000</v>
      </c>
      <c r="G32" s="431"/>
    </row>
    <row r="33" spans="1:8" x14ac:dyDescent="0.25">
      <c r="A33" s="446" t="s">
        <v>627</v>
      </c>
      <c r="B33" s="440"/>
      <c r="C33" s="345"/>
      <c r="D33" s="345"/>
      <c r="E33" s="439"/>
      <c r="F33" s="633"/>
      <c r="G33" s="431"/>
    </row>
    <row r="34" spans="1:8" x14ac:dyDescent="0.25">
      <c r="A34" s="271" t="s">
        <v>626</v>
      </c>
      <c r="B34" s="97"/>
      <c r="C34" s="267"/>
      <c r="D34" s="220"/>
      <c r="E34" s="267"/>
      <c r="F34" s="637">
        <v>50000</v>
      </c>
      <c r="G34" s="431"/>
    </row>
    <row r="35" spans="1:8" ht="30" x14ac:dyDescent="0.25">
      <c r="A35" s="451" t="s">
        <v>625</v>
      </c>
      <c r="B35" s="440"/>
      <c r="C35" s="345"/>
      <c r="D35" s="345"/>
      <c r="E35" s="439"/>
      <c r="F35" s="635"/>
      <c r="G35" s="444"/>
    </row>
    <row r="36" spans="1:8" x14ac:dyDescent="0.25">
      <c r="A36" s="450" t="s">
        <v>624</v>
      </c>
      <c r="B36" s="97"/>
      <c r="C36" s="98"/>
      <c r="D36" s="98"/>
      <c r="E36" s="267"/>
      <c r="F36" s="101"/>
      <c r="G36" s="431"/>
    </row>
    <row r="37" spans="1:8" x14ac:dyDescent="0.25">
      <c r="A37" s="271" t="s">
        <v>623</v>
      </c>
      <c r="B37" s="97"/>
      <c r="C37" s="98"/>
      <c r="D37" s="98"/>
      <c r="E37" s="267"/>
      <c r="F37" s="101"/>
      <c r="G37" s="636">
        <v>100000</v>
      </c>
    </row>
    <row r="38" spans="1:8" x14ac:dyDescent="0.25">
      <c r="A38" s="422" t="s">
        <v>622</v>
      </c>
      <c r="B38" s="97"/>
      <c r="C38" s="220"/>
      <c r="D38" s="220"/>
      <c r="E38" s="267"/>
      <c r="F38" s="235"/>
      <c r="G38" s="636"/>
      <c r="H38" s="137"/>
    </row>
    <row r="39" spans="1:8" x14ac:dyDescent="0.25">
      <c r="A39" s="271" t="s">
        <v>621</v>
      </c>
      <c r="B39" s="449"/>
      <c r="C39" s="220"/>
      <c r="D39" s="220"/>
      <c r="E39" s="272"/>
      <c r="F39" s="235"/>
      <c r="G39" s="636"/>
      <c r="H39" s="80"/>
    </row>
    <row r="40" spans="1:8" x14ac:dyDescent="0.25">
      <c r="A40" s="271" t="s">
        <v>620</v>
      </c>
      <c r="B40" s="97"/>
      <c r="C40" s="220"/>
      <c r="D40" s="220"/>
      <c r="E40" s="267"/>
      <c r="F40" s="235"/>
      <c r="G40" s="220"/>
      <c r="H40" s="80"/>
    </row>
    <row r="41" spans="1:8" x14ac:dyDescent="0.25">
      <c r="A41" s="271" t="s">
        <v>619</v>
      </c>
      <c r="B41" s="97"/>
      <c r="C41" s="220"/>
      <c r="D41" s="220"/>
      <c r="E41" s="267"/>
      <c r="F41" s="235"/>
      <c r="G41" s="220"/>
      <c r="H41" s="80"/>
    </row>
    <row r="42" spans="1:8" x14ac:dyDescent="0.25">
      <c r="A42" s="271" t="s">
        <v>618</v>
      </c>
      <c r="B42" s="97"/>
      <c r="C42" s="220"/>
      <c r="D42" s="220"/>
      <c r="E42" s="267"/>
      <c r="F42" s="235"/>
      <c r="G42" s="220"/>
      <c r="H42" s="137"/>
    </row>
    <row r="43" spans="1:8" x14ac:dyDescent="0.25">
      <c r="A43" s="271" t="s">
        <v>617</v>
      </c>
      <c r="B43" s="97"/>
      <c r="C43" s="220"/>
      <c r="D43" s="220"/>
      <c r="E43" s="267"/>
      <c r="F43" s="235"/>
      <c r="G43" s="220"/>
    </row>
    <row r="44" spans="1:8" ht="15" customHeight="1" x14ac:dyDescent="0.25">
      <c r="A44" s="446" t="s">
        <v>616</v>
      </c>
      <c r="B44" s="440"/>
      <c r="C44" s="438"/>
      <c r="D44" s="438"/>
      <c r="E44" s="439"/>
      <c r="F44" s="448"/>
      <c r="G44" s="438"/>
    </row>
    <row r="45" spans="1:8" ht="30" x14ac:dyDescent="0.25">
      <c r="A45" s="433" t="s">
        <v>615</v>
      </c>
      <c r="B45" s="97"/>
      <c r="C45" s="220"/>
      <c r="D45" s="267"/>
      <c r="E45" s="267"/>
      <c r="F45" s="235"/>
      <c r="G45" s="220"/>
    </row>
    <row r="46" spans="1:8" x14ac:dyDescent="0.25">
      <c r="A46" s="447" t="s">
        <v>614</v>
      </c>
      <c r="B46" s="97"/>
      <c r="C46" s="220"/>
      <c r="D46" s="220"/>
      <c r="E46" s="267"/>
      <c r="F46" s="235"/>
      <c r="G46" s="220"/>
    </row>
    <row r="47" spans="1:8" x14ac:dyDescent="0.25">
      <c r="A47" s="271" t="s">
        <v>613</v>
      </c>
      <c r="B47" s="97"/>
      <c r="C47" s="220"/>
      <c r="D47" s="220"/>
      <c r="E47" s="267"/>
      <c r="F47" s="235"/>
      <c r="G47" s="638">
        <v>92000</v>
      </c>
    </row>
    <row r="48" spans="1:8" x14ac:dyDescent="0.25">
      <c r="A48" s="271" t="s">
        <v>612</v>
      </c>
      <c r="B48" s="97"/>
      <c r="C48" s="220"/>
      <c r="D48" s="220"/>
      <c r="E48" s="267"/>
      <c r="F48" s="235"/>
      <c r="G48" s="638"/>
      <c r="H48" s="137"/>
    </row>
    <row r="49" spans="1:8" x14ac:dyDescent="0.25">
      <c r="A49" s="271" t="s">
        <v>611</v>
      </c>
      <c r="B49" s="97"/>
      <c r="C49" s="98"/>
      <c r="D49" s="98"/>
      <c r="E49" s="267"/>
      <c r="F49" s="101"/>
      <c r="G49" s="431"/>
    </row>
    <row r="50" spans="1:8" x14ac:dyDescent="0.25">
      <c r="A50" s="446" t="s">
        <v>610</v>
      </c>
      <c r="B50" s="440"/>
      <c r="C50" s="345"/>
      <c r="D50" s="345"/>
      <c r="E50" s="439"/>
      <c r="F50" s="445"/>
      <c r="G50" s="444"/>
    </row>
    <row r="51" spans="1:8" ht="30" x14ac:dyDescent="0.25">
      <c r="A51" s="443" t="s">
        <v>609</v>
      </c>
      <c r="B51" s="97"/>
      <c r="C51" s="98"/>
      <c r="D51" s="98"/>
      <c r="E51" s="267"/>
      <c r="F51" s="101"/>
      <c r="G51" s="442">
        <v>422000</v>
      </c>
    </row>
    <row r="52" spans="1:8" x14ac:dyDescent="0.25">
      <c r="A52" s="271" t="s">
        <v>608</v>
      </c>
      <c r="B52" s="97"/>
      <c r="C52" s="98"/>
      <c r="D52" s="98"/>
      <c r="E52" s="267"/>
      <c r="F52" s="101"/>
      <c r="G52" s="431"/>
      <c r="H52" s="137"/>
    </row>
    <row r="53" spans="1:8" x14ac:dyDescent="0.25">
      <c r="A53" s="420" t="s">
        <v>607</v>
      </c>
      <c r="B53" s="97"/>
      <c r="C53" s="98"/>
      <c r="D53" s="98"/>
      <c r="E53" s="267"/>
      <c r="F53" s="628">
        <v>322000</v>
      </c>
      <c r="G53" s="431"/>
    </row>
    <row r="54" spans="1:8" x14ac:dyDescent="0.25">
      <c r="A54" s="420" t="s">
        <v>606</v>
      </c>
      <c r="B54" s="97"/>
      <c r="C54" s="98"/>
      <c r="D54" s="98"/>
      <c r="E54" s="267"/>
      <c r="F54" s="628"/>
      <c r="G54" s="431"/>
    </row>
    <row r="55" spans="1:8" x14ac:dyDescent="0.25">
      <c r="A55" s="420" t="s">
        <v>605</v>
      </c>
      <c r="B55" s="97"/>
      <c r="C55" s="98"/>
      <c r="D55" s="98"/>
      <c r="E55" s="267"/>
      <c r="F55" s="628"/>
      <c r="G55" s="431"/>
    </row>
    <row r="56" spans="1:8" x14ac:dyDescent="0.25">
      <c r="A56" s="420" t="s">
        <v>604</v>
      </c>
      <c r="B56" s="97"/>
      <c r="C56" s="220"/>
      <c r="D56" s="220"/>
      <c r="E56" s="267"/>
      <c r="F56" s="220"/>
      <c r="G56" s="431"/>
    </row>
    <row r="57" spans="1:8" x14ac:dyDescent="0.25">
      <c r="A57" s="420" t="s">
        <v>603</v>
      </c>
      <c r="B57" s="97"/>
      <c r="C57" s="220"/>
      <c r="D57" s="220"/>
      <c r="E57" s="267"/>
      <c r="F57" s="220"/>
      <c r="G57" s="431"/>
    </row>
    <row r="58" spans="1:8" x14ac:dyDescent="0.25">
      <c r="A58" s="441" t="s">
        <v>602</v>
      </c>
      <c r="B58" s="440"/>
      <c r="C58" s="438"/>
      <c r="D58" s="438"/>
      <c r="E58" s="439"/>
      <c r="F58" s="438"/>
      <c r="G58" s="431"/>
    </row>
    <row r="59" spans="1:8" x14ac:dyDescent="0.25">
      <c r="A59" s="437" t="s">
        <v>601</v>
      </c>
      <c r="B59" s="436"/>
      <c r="C59" s="412"/>
      <c r="D59" s="412"/>
      <c r="E59" s="387"/>
      <c r="F59" s="435">
        <v>100000</v>
      </c>
      <c r="G59" s="434"/>
    </row>
    <row r="60" spans="1:8" ht="30" x14ac:dyDescent="0.25">
      <c r="A60" s="433" t="s">
        <v>600</v>
      </c>
      <c r="B60" s="97"/>
      <c r="C60" s="220"/>
      <c r="D60" s="220"/>
      <c r="E60" s="267"/>
      <c r="F60" s="220"/>
      <c r="G60" s="431">
        <v>215000</v>
      </c>
    </row>
    <row r="61" spans="1:8" x14ac:dyDescent="0.25">
      <c r="A61" s="432" t="s">
        <v>599</v>
      </c>
      <c r="B61" s="97"/>
      <c r="C61" s="220"/>
      <c r="D61" s="220"/>
      <c r="E61" s="267"/>
      <c r="F61" s="220"/>
      <c r="G61" s="431"/>
    </row>
    <row r="62" spans="1:8" x14ac:dyDescent="0.25">
      <c r="A62" s="420" t="s">
        <v>598</v>
      </c>
      <c r="B62" s="97"/>
      <c r="C62" s="220"/>
      <c r="D62" s="220"/>
      <c r="E62" s="267"/>
      <c r="F62" s="220">
        <v>30000</v>
      </c>
      <c r="G62" s="431"/>
    </row>
    <row r="63" spans="1:8" x14ac:dyDescent="0.25">
      <c r="A63" s="420" t="s">
        <v>597</v>
      </c>
      <c r="B63" s="97"/>
      <c r="C63" s="220"/>
      <c r="D63" s="220"/>
      <c r="E63" s="267"/>
      <c r="F63" s="220">
        <v>30000</v>
      </c>
      <c r="G63" s="431"/>
    </row>
    <row r="64" spans="1:8" x14ac:dyDescent="0.25">
      <c r="A64" s="420" t="s">
        <v>596</v>
      </c>
      <c r="B64" s="97"/>
      <c r="C64" s="220"/>
      <c r="D64" s="220"/>
      <c r="E64" s="267"/>
      <c r="F64" s="220">
        <v>35000</v>
      </c>
      <c r="G64" s="431"/>
    </row>
    <row r="65" spans="1:7" x14ac:dyDescent="0.25">
      <c r="A65" s="420" t="s">
        <v>595</v>
      </c>
      <c r="B65" s="97"/>
      <c r="C65" s="220"/>
      <c r="D65" s="220"/>
      <c r="E65" s="267"/>
      <c r="F65" s="220">
        <v>20000</v>
      </c>
      <c r="G65" s="431"/>
    </row>
    <row r="66" spans="1:7" x14ac:dyDescent="0.25">
      <c r="A66" s="420" t="s">
        <v>594</v>
      </c>
      <c r="B66" s="97"/>
      <c r="C66" s="220"/>
      <c r="D66" s="220"/>
      <c r="E66" s="267"/>
      <c r="F66" s="220">
        <v>50000</v>
      </c>
      <c r="G66" s="431"/>
    </row>
    <row r="67" spans="1:7" x14ac:dyDescent="0.25">
      <c r="A67" s="420" t="s">
        <v>593</v>
      </c>
      <c r="B67" s="97"/>
      <c r="C67" s="220"/>
      <c r="D67" s="220"/>
      <c r="E67" s="267"/>
      <c r="F67" s="220">
        <v>50000</v>
      </c>
      <c r="G67" s="431"/>
    </row>
    <row r="68" spans="1:7" x14ac:dyDescent="0.25">
      <c r="A68" s="415" t="s">
        <v>592</v>
      </c>
      <c r="B68" s="430"/>
      <c r="C68" s="413"/>
      <c r="D68" s="429"/>
      <c r="E68" s="349"/>
      <c r="F68" s="429"/>
      <c r="G68" s="428">
        <f>SUM(G12:G67)</f>
        <v>1800000</v>
      </c>
    </row>
    <row r="69" spans="1:7" ht="18.75" x14ac:dyDescent="0.3">
      <c r="A69" s="409" t="s">
        <v>68</v>
      </c>
      <c r="B69" s="409" t="s">
        <v>69</v>
      </c>
      <c r="C69" s="409"/>
      <c r="D69" s="409"/>
      <c r="E69" s="409" t="s">
        <v>314</v>
      </c>
      <c r="F69" s="409"/>
      <c r="G69" s="409"/>
    </row>
    <row r="70" spans="1:7" ht="18.75" x14ac:dyDescent="0.3">
      <c r="A70" s="409"/>
      <c r="B70" s="409"/>
      <c r="C70" s="409"/>
      <c r="D70" s="409"/>
      <c r="E70" s="409"/>
      <c r="F70" s="409"/>
      <c r="G70" s="409"/>
    </row>
    <row r="71" spans="1:7" ht="18.75" x14ac:dyDescent="0.3">
      <c r="A71" s="639" t="s">
        <v>591</v>
      </c>
      <c r="B71" s="639"/>
      <c r="C71" s="639"/>
      <c r="D71" s="639"/>
      <c r="E71" s="410" t="s">
        <v>590</v>
      </c>
      <c r="F71" s="409"/>
      <c r="G71" s="409"/>
    </row>
    <row r="72" spans="1:7" ht="18.75" x14ac:dyDescent="0.3">
      <c r="A72" s="627" t="s">
        <v>589</v>
      </c>
      <c r="B72" s="627"/>
      <c r="C72" s="627"/>
      <c r="D72" s="627"/>
      <c r="E72" s="409" t="s">
        <v>588</v>
      </c>
      <c r="F72" s="409"/>
      <c r="G72" s="409"/>
    </row>
    <row r="73" spans="1:7" ht="21" x14ac:dyDescent="0.35">
      <c r="A73" s="158"/>
      <c r="B73" s="158"/>
      <c r="C73" s="158"/>
      <c r="D73" s="158"/>
      <c r="E73" s="158"/>
      <c r="F73" s="158"/>
      <c r="G73" s="158"/>
    </row>
    <row r="74" spans="1:7" ht="21" x14ac:dyDescent="0.35">
      <c r="A74" s="158"/>
      <c r="B74" s="158"/>
      <c r="C74" s="158"/>
      <c r="D74" s="158"/>
      <c r="E74" s="158"/>
      <c r="F74" s="158"/>
      <c r="G74" s="158"/>
    </row>
    <row r="75" spans="1:7" ht="21" x14ac:dyDescent="0.35">
      <c r="A75" s="158"/>
      <c r="B75" s="158"/>
      <c r="C75" s="158"/>
      <c r="D75" s="158"/>
      <c r="E75" s="158"/>
      <c r="F75" s="158"/>
      <c r="G75" s="158"/>
    </row>
    <row r="76" spans="1:7" ht="21" x14ac:dyDescent="0.35">
      <c r="A76" s="158"/>
      <c r="B76" s="158"/>
      <c r="C76" s="158"/>
      <c r="D76" s="158"/>
      <c r="E76" s="158"/>
      <c r="F76" s="158"/>
      <c r="G76" s="158"/>
    </row>
    <row r="77" spans="1:7" ht="21" x14ac:dyDescent="0.35">
      <c r="A77" s="158"/>
      <c r="B77" s="158"/>
      <c r="C77" s="158"/>
      <c r="D77" s="158"/>
      <c r="E77" s="158"/>
      <c r="F77" s="158"/>
      <c r="G77" s="158"/>
    </row>
    <row r="78" spans="1:7" ht="21" x14ac:dyDescent="0.35">
      <c r="A78" s="158"/>
      <c r="B78" s="158"/>
      <c r="C78" s="158"/>
      <c r="D78" s="158"/>
      <c r="E78" s="158"/>
      <c r="F78" s="158"/>
      <c r="G78" s="158"/>
    </row>
    <row r="79" spans="1:7" ht="21" x14ac:dyDescent="0.35">
      <c r="A79" s="158"/>
    </row>
  </sheetData>
  <sheetProtection password="CCFC" sheet="1" objects="1" scenarios="1" selectLockedCells="1" selectUnlockedCells="1"/>
  <mergeCells count="20">
    <mergeCell ref="A2:G2"/>
    <mergeCell ref="A3:G3"/>
    <mergeCell ref="A7:A8"/>
    <mergeCell ref="B7:B8"/>
    <mergeCell ref="D7:F7"/>
    <mergeCell ref="A5:E5"/>
    <mergeCell ref="A72:D72"/>
    <mergeCell ref="F53:F55"/>
    <mergeCell ref="G12:G13"/>
    <mergeCell ref="G14:G15"/>
    <mergeCell ref="G16:G20"/>
    <mergeCell ref="F23:F24"/>
    <mergeCell ref="F30:F31"/>
    <mergeCell ref="F28:F29"/>
    <mergeCell ref="F32:F33"/>
    <mergeCell ref="G26:G29"/>
    <mergeCell ref="F34:F35"/>
    <mergeCell ref="G37:G39"/>
    <mergeCell ref="G47:G48"/>
    <mergeCell ref="A71:D71"/>
  </mergeCells>
  <conditionalFormatting sqref="I22 A22:D22 A35:D35 A39:D41 A43:D44 A47:D48 A52:D53 G22 A27:D33 G30:G33 G35 G52:G53">
    <cfRule type="expression" dxfId="17" priority="2">
      <formula>ISNUMBER(SEARCH(#REF!,#REF!))</formula>
    </cfRule>
  </conditionalFormatting>
  <conditionalFormatting sqref="F22 F32 F26:F28 F43:G44 F47:G48 F52:F53 F30 F39:F41 G40:G41">
    <cfRule type="expression" dxfId="16" priority="1">
      <formula>ISNUMBER(SEARCH(#REF!,#REF!))</formula>
    </cfRule>
  </conditionalFormatting>
  <conditionalFormatting sqref="A34:D34 E30:E38 F34:G34 A62:D67 F62:G67">
    <cfRule type="expression" dxfId="15" priority="3">
      <formula>ISNUMBER(SEARCH(#REF!,A20))</formula>
    </cfRule>
  </conditionalFormatting>
  <conditionalFormatting sqref="I23">
    <cfRule type="expression" dxfId="14" priority="4">
      <formula>ISNUMBER(SEARCH(#REF!,F15))</formula>
    </cfRule>
  </conditionalFormatting>
  <conditionalFormatting sqref="A15:E15 A16:D17 G16 E16:E29 F15:F17 A13:F13 E39:E51 E61:E67">
    <cfRule type="expression" dxfId="13" priority="5">
      <formula>ISNUMBER(SEARCH(#REF!,A4))</formula>
    </cfRule>
  </conditionalFormatting>
  <conditionalFormatting sqref="G23 A23:D23 A14:G14">
    <cfRule type="expression" dxfId="12" priority="6">
      <formula>ISNUMBER(SEARCH(#REF!,A6))</formula>
    </cfRule>
  </conditionalFormatting>
  <conditionalFormatting sqref="A18:D21 A49:D51 G21 F18:F21 F49:G51">
    <cfRule type="expression" dxfId="11" priority="7">
      <formula>ISNUMBER(SEARCH(#REF!,A11))</formula>
    </cfRule>
  </conditionalFormatting>
  <conditionalFormatting sqref="A24:D26 F24:G25">
    <cfRule type="expression" dxfId="10" priority="8">
      <formula>ISNUMBER(SEARCH(#REF!,A21))</formula>
    </cfRule>
  </conditionalFormatting>
  <conditionalFormatting sqref="A36:D36 A42:D42 F36:G36 F42:G42">
    <cfRule type="expression" dxfId="9" priority="9">
      <formula>ISNUMBER(SEARCH(#REF!,A30))</formula>
    </cfRule>
  </conditionalFormatting>
  <conditionalFormatting sqref="A37:D38 G37 F37:F38">
    <cfRule type="expression" dxfId="8" priority="10">
      <formula>ISNUMBER(SEARCH(#REF!,A33))</formula>
    </cfRule>
  </conditionalFormatting>
  <conditionalFormatting sqref="A45:D46 F45:G46">
    <cfRule type="expression" dxfId="7" priority="11">
      <formula>ISNUMBER(SEARCH(#REF!,A40))</formula>
    </cfRule>
  </conditionalFormatting>
  <conditionalFormatting sqref="E68">
    <cfRule type="expression" dxfId="6" priority="12">
      <formula>ISNUMBER(SEARCH(#REF!,#REF!))</formula>
    </cfRule>
  </conditionalFormatting>
  <conditionalFormatting sqref="A68:D68 F68:G68">
    <cfRule type="expression" dxfId="5" priority="13">
      <formula>ISNUMBER(SEARCH(#REF!,A51))</formula>
    </cfRule>
  </conditionalFormatting>
  <conditionalFormatting sqref="A12:G12">
    <cfRule type="expression" dxfId="4" priority="14">
      <formula>ISNUMBER(SEARCH(#REF!,#REF!))</formula>
    </cfRule>
  </conditionalFormatting>
  <conditionalFormatting sqref="A54:D60 G54:G60 F56:F60">
    <cfRule type="expression" dxfId="3" priority="15">
      <formula>ISNUMBER(SEARCH(#REF!,A45))</formula>
    </cfRule>
  </conditionalFormatting>
  <conditionalFormatting sqref="A61:D61 F61:G61">
    <cfRule type="expression" dxfId="2" priority="16">
      <formula>ISNUMBER(SEARCH(#REF!,#REF!))</formula>
    </cfRule>
  </conditionalFormatting>
  <conditionalFormatting sqref="E52:E59">
    <cfRule type="expression" dxfId="1" priority="17">
      <formula>ISNUMBER(SEARCH(#REF!,E44))</formula>
    </cfRule>
  </conditionalFormatting>
  <conditionalFormatting sqref="E60">
    <cfRule type="expression" dxfId="0" priority="18">
      <formula>ISNUMBER(SEARCH(#REF!,#REF!))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H64"/>
  <sheetViews>
    <sheetView topLeftCell="A49" zoomScale="96" zoomScaleNormal="96" workbookViewId="0">
      <selection activeCell="H52" sqref="H52"/>
    </sheetView>
  </sheetViews>
  <sheetFormatPr defaultRowHeight="15" x14ac:dyDescent="0.25"/>
  <cols>
    <col min="1" max="1" width="46.7109375" style="4" customWidth="1"/>
    <col min="2" max="2" width="10.140625" style="4" customWidth="1"/>
    <col min="3" max="3" width="15.140625" style="193" customWidth="1"/>
    <col min="4" max="4" width="13.28515625" style="4" customWidth="1"/>
    <col min="5" max="5" width="15" style="4" customWidth="1"/>
    <col min="6" max="6" width="14.7109375" style="4" bestFit="1" customWidth="1"/>
    <col min="7" max="7" width="14.28515625" style="16" bestFit="1" customWidth="1"/>
    <col min="8" max="8" width="35" style="4" customWidth="1"/>
    <col min="9" max="9" width="9" style="4" bestFit="1" customWidth="1"/>
    <col min="10" max="16384" width="9.140625" style="4"/>
  </cols>
  <sheetData>
    <row r="1" spans="1:7" x14ac:dyDescent="0.25">
      <c r="A1" s="4" t="s">
        <v>9</v>
      </c>
      <c r="G1" s="16" t="s">
        <v>96</v>
      </c>
    </row>
    <row r="3" spans="1:7" ht="21" x14ac:dyDescent="0.35">
      <c r="A3" s="582" t="s">
        <v>10</v>
      </c>
      <c r="B3" s="582"/>
      <c r="C3" s="582"/>
      <c r="D3" s="582"/>
      <c r="E3" s="582"/>
      <c r="F3" s="582"/>
      <c r="G3" s="582"/>
    </row>
    <row r="4" spans="1:7" ht="21" x14ac:dyDescent="0.35">
      <c r="A4" s="582" t="s">
        <v>127</v>
      </c>
      <c r="B4" s="582"/>
      <c r="C4" s="582"/>
      <c r="D4" s="582"/>
      <c r="E4" s="582"/>
      <c r="F4" s="582"/>
      <c r="G4" s="582"/>
    </row>
    <row r="5" spans="1:7" ht="21" x14ac:dyDescent="0.35">
      <c r="A5" s="155"/>
      <c r="B5" s="154"/>
      <c r="C5" s="194"/>
      <c r="D5" s="154"/>
      <c r="E5" s="154"/>
      <c r="F5" s="154"/>
      <c r="G5" s="152"/>
    </row>
    <row r="6" spans="1:7" ht="21" x14ac:dyDescent="0.35">
      <c r="A6" s="155" t="s">
        <v>123</v>
      </c>
      <c r="B6" s="154"/>
      <c r="C6" s="194"/>
      <c r="D6" s="154"/>
      <c r="E6" s="154"/>
      <c r="F6" s="154"/>
      <c r="G6" s="152"/>
    </row>
    <row r="7" spans="1:7" ht="21" x14ac:dyDescent="0.35">
      <c r="A7" s="154" t="s">
        <v>122</v>
      </c>
      <c r="B7" s="154"/>
      <c r="C7" s="194"/>
      <c r="D7" s="154"/>
      <c r="E7" s="154"/>
      <c r="F7" s="154"/>
      <c r="G7" s="152"/>
    </row>
    <row r="8" spans="1:7" ht="21" x14ac:dyDescent="0.35">
      <c r="A8" s="154" t="s">
        <v>90</v>
      </c>
      <c r="B8" s="154"/>
      <c r="C8" s="194"/>
      <c r="D8" s="154"/>
      <c r="E8" s="154"/>
      <c r="F8" s="154"/>
      <c r="G8" s="152"/>
    </row>
    <row r="9" spans="1:7" ht="21" x14ac:dyDescent="0.35">
      <c r="A9" s="154"/>
      <c r="B9" s="154"/>
      <c r="C9" s="194"/>
      <c r="D9" s="154"/>
      <c r="E9" s="154"/>
      <c r="F9" s="154"/>
      <c r="G9" s="152"/>
    </row>
    <row r="10" spans="1:7" x14ac:dyDescent="0.25">
      <c r="A10" s="579" t="s">
        <v>0</v>
      </c>
      <c r="B10" s="577" t="s">
        <v>1</v>
      </c>
      <c r="C10" s="17" t="s">
        <v>2</v>
      </c>
      <c r="D10" s="579" t="s">
        <v>8</v>
      </c>
      <c r="E10" s="580"/>
      <c r="F10" s="581"/>
      <c r="G10" s="17" t="s">
        <v>3</v>
      </c>
    </row>
    <row r="11" spans="1:7" ht="45" x14ac:dyDescent="0.25">
      <c r="A11" s="593"/>
      <c r="B11" s="578"/>
      <c r="C11" s="18" t="s">
        <v>4</v>
      </c>
      <c r="D11" s="163" t="s">
        <v>107</v>
      </c>
      <c r="E11" s="163" t="s">
        <v>108</v>
      </c>
      <c r="F11" s="144" t="s">
        <v>5</v>
      </c>
      <c r="G11" s="18" t="s">
        <v>6</v>
      </c>
    </row>
    <row r="12" spans="1:7" x14ac:dyDescent="0.25">
      <c r="A12" s="141"/>
      <c r="B12" s="3"/>
      <c r="C12" s="18">
        <v>2016</v>
      </c>
      <c r="D12" s="3" t="s">
        <v>4</v>
      </c>
      <c r="E12" s="3" t="s">
        <v>7</v>
      </c>
      <c r="F12" s="3"/>
      <c r="G12" s="18"/>
    </row>
    <row r="13" spans="1:7" x14ac:dyDescent="0.25">
      <c r="A13" s="141"/>
      <c r="B13" s="3"/>
      <c r="C13" s="18"/>
      <c r="D13" s="3">
        <v>2017</v>
      </c>
      <c r="E13" s="3">
        <v>2017</v>
      </c>
      <c r="F13" s="3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140"/>
      <c r="B15" s="144"/>
      <c r="C15" s="195"/>
      <c r="D15" s="144"/>
      <c r="E15" s="144"/>
      <c r="F15" s="144"/>
      <c r="G15" s="17"/>
    </row>
    <row r="16" spans="1:7" x14ac:dyDescent="0.25">
      <c r="A16" s="6" t="s">
        <v>11</v>
      </c>
      <c r="B16" s="3"/>
      <c r="C16" s="196"/>
      <c r="D16" s="3"/>
      <c r="E16" s="3"/>
      <c r="F16" s="3"/>
      <c r="G16" s="18"/>
    </row>
    <row r="17" spans="1:8" hidden="1" x14ac:dyDescent="0.25">
      <c r="A17" s="54" t="s">
        <v>57</v>
      </c>
      <c r="B17" s="3"/>
      <c r="C17" s="196"/>
      <c r="D17" s="3"/>
      <c r="E17" s="3"/>
      <c r="F17" s="3"/>
      <c r="G17" s="18"/>
    </row>
    <row r="18" spans="1:8" x14ac:dyDescent="0.25">
      <c r="A18" s="54" t="s">
        <v>94</v>
      </c>
      <c r="B18" s="38">
        <v>50101010</v>
      </c>
      <c r="C18" s="57">
        <v>5184464.8600000003</v>
      </c>
      <c r="D18" s="93">
        <v>3947726</v>
      </c>
      <c r="E18" s="60">
        <f>F18-D18</f>
        <v>1079799.1600000001</v>
      </c>
      <c r="F18" s="57">
        <v>5027525.16</v>
      </c>
      <c r="G18" s="229">
        <f>7881780-146544</f>
        <v>7735236</v>
      </c>
    </row>
    <row r="19" spans="1:8" x14ac:dyDescent="0.25">
      <c r="A19" s="54" t="s">
        <v>159</v>
      </c>
      <c r="B19" s="38"/>
      <c r="C19" s="57">
        <v>67000</v>
      </c>
      <c r="D19" s="93">
        <v>135160</v>
      </c>
      <c r="E19" s="60">
        <f t="shared" ref="E19:E34" si="0">F19-D19</f>
        <v>264050</v>
      </c>
      <c r="F19" s="57">
        <v>399210</v>
      </c>
      <c r="G19" s="229">
        <v>150000</v>
      </c>
    </row>
    <row r="20" spans="1:8" x14ac:dyDescent="0.25">
      <c r="A20" s="72" t="s">
        <v>52</v>
      </c>
      <c r="B20" s="52">
        <v>50102010</v>
      </c>
      <c r="C20" s="57">
        <v>259500</v>
      </c>
      <c r="D20" s="93">
        <v>214500</v>
      </c>
      <c r="E20" s="60">
        <f t="shared" si="0"/>
        <v>45227.26999999999</v>
      </c>
      <c r="F20" s="57">
        <v>259727.27</v>
      </c>
      <c r="G20" s="229">
        <f>360000-24000</f>
        <v>336000</v>
      </c>
    </row>
    <row r="21" spans="1:8" x14ac:dyDescent="0.25">
      <c r="A21" s="72" t="s">
        <v>51</v>
      </c>
      <c r="B21" s="52">
        <v>50102020</v>
      </c>
      <c r="C21" s="57">
        <v>684000</v>
      </c>
      <c r="D21" s="93"/>
      <c r="E21" s="60">
        <f t="shared" si="0"/>
        <v>751500</v>
      </c>
      <c r="F21" s="57">
        <v>751500</v>
      </c>
      <c r="G21" s="229">
        <v>751500</v>
      </c>
    </row>
    <row r="22" spans="1:8" x14ac:dyDescent="0.25">
      <c r="A22" s="72" t="s">
        <v>48</v>
      </c>
      <c r="B22" s="52">
        <v>50102030</v>
      </c>
      <c r="C22" s="57">
        <v>684000</v>
      </c>
      <c r="D22" s="93"/>
      <c r="E22" s="60">
        <f t="shared" si="0"/>
        <v>751500</v>
      </c>
      <c r="F22" s="57">
        <v>751500</v>
      </c>
      <c r="G22" s="229">
        <v>751500</v>
      </c>
      <c r="H22" s="139"/>
    </row>
    <row r="23" spans="1:8" x14ac:dyDescent="0.25">
      <c r="A23" s="72" t="s">
        <v>49</v>
      </c>
      <c r="B23" s="52">
        <v>50102040</v>
      </c>
      <c r="C23" s="57">
        <v>60000</v>
      </c>
      <c r="D23" s="57"/>
      <c r="E23" s="60">
        <f t="shared" si="0"/>
        <v>55000</v>
      </c>
      <c r="F23" s="57">
        <v>55000</v>
      </c>
      <c r="G23" s="229">
        <f>75000-5000</f>
        <v>70000</v>
      </c>
    </row>
    <row r="24" spans="1:8" hidden="1" x14ac:dyDescent="0.25">
      <c r="A24" s="72" t="s">
        <v>50</v>
      </c>
      <c r="B24" s="52">
        <v>50102080</v>
      </c>
      <c r="C24" s="57"/>
      <c r="D24" s="57"/>
      <c r="E24" s="60">
        <f t="shared" si="0"/>
        <v>0</v>
      </c>
      <c r="F24" s="57"/>
      <c r="G24" s="43"/>
    </row>
    <row r="25" spans="1:8" x14ac:dyDescent="0.25">
      <c r="A25" s="72" t="s">
        <v>47</v>
      </c>
      <c r="B25" s="52">
        <v>50102150</v>
      </c>
      <c r="C25" s="57">
        <v>60000</v>
      </c>
      <c r="D25" s="57"/>
      <c r="E25" s="60">
        <f t="shared" si="0"/>
        <v>55000</v>
      </c>
      <c r="F25" s="57">
        <v>55000</v>
      </c>
      <c r="G25" s="229">
        <v>75000</v>
      </c>
    </row>
    <row r="26" spans="1:8" x14ac:dyDescent="0.25">
      <c r="A26" s="72" t="s">
        <v>46</v>
      </c>
      <c r="B26" s="52">
        <v>50102140</v>
      </c>
      <c r="C26" s="57">
        <v>533225.30000000005</v>
      </c>
      <c r="D26" s="57"/>
      <c r="E26" s="60">
        <f t="shared" si="0"/>
        <v>463513</v>
      </c>
      <c r="F26" s="57">
        <v>463513</v>
      </c>
      <c r="G26" s="229">
        <f>656815-12212</f>
        <v>644603</v>
      </c>
    </row>
    <row r="27" spans="1:8" x14ac:dyDescent="0.25">
      <c r="A27" s="72" t="s">
        <v>39</v>
      </c>
      <c r="B27" s="52">
        <v>50102990</v>
      </c>
      <c r="C27" s="57">
        <v>417314</v>
      </c>
      <c r="D27" s="57"/>
      <c r="E27" s="60">
        <f t="shared" si="0"/>
        <v>511825</v>
      </c>
      <c r="F27" s="57">
        <v>511825</v>
      </c>
      <c r="G27" s="229">
        <f>656815-17212</f>
        <v>639603</v>
      </c>
    </row>
    <row r="28" spans="1:8" x14ac:dyDescent="0.25">
      <c r="A28" s="72" t="s">
        <v>40</v>
      </c>
      <c r="B28" s="52">
        <v>50103010</v>
      </c>
      <c r="C28" s="57">
        <v>585199.42000000004</v>
      </c>
      <c r="D28" s="57">
        <v>353787.84</v>
      </c>
      <c r="E28" s="60">
        <f t="shared" si="0"/>
        <v>132928.77999999997</v>
      </c>
      <c r="F28" s="57">
        <v>486716.62</v>
      </c>
      <c r="G28" s="229">
        <f>945813.6-17585.28</f>
        <v>928228.32</v>
      </c>
    </row>
    <row r="29" spans="1:8" x14ac:dyDescent="0.25">
      <c r="A29" s="72" t="s">
        <v>41</v>
      </c>
      <c r="B29" s="52">
        <v>50103020</v>
      </c>
      <c r="C29" s="57">
        <v>14400</v>
      </c>
      <c r="D29" s="57">
        <v>7200</v>
      </c>
      <c r="E29" s="60">
        <f t="shared" si="0"/>
        <v>2300</v>
      </c>
      <c r="F29" s="57">
        <v>9500</v>
      </c>
      <c r="G29" s="229">
        <f>18000-1200</f>
        <v>16800</v>
      </c>
    </row>
    <row r="30" spans="1:8" x14ac:dyDescent="0.25">
      <c r="A30" s="72" t="s">
        <v>42</v>
      </c>
      <c r="B30" s="52">
        <v>50103030</v>
      </c>
      <c r="C30" s="57">
        <v>50587.5</v>
      </c>
      <c r="D30" s="57">
        <v>45562.5</v>
      </c>
      <c r="E30" s="60">
        <f t="shared" si="0"/>
        <v>8325</v>
      </c>
      <c r="F30" s="57">
        <v>53887.5</v>
      </c>
      <c r="G30" s="229">
        <f>63000-1350</f>
        <v>61650</v>
      </c>
    </row>
    <row r="31" spans="1:8" x14ac:dyDescent="0.25">
      <c r="A31" s="72" t="s">
        <v>43</v>
      </c>
      <c r="B31" s="52">
        <v>50103040</v>
      </c>
      <c r="C31" s="57">
        <v>12997.6</v>
      </c>
      <c r="D31" s="57">
        <v>7126.09</v>
      </c>
      <c r="E31" s="60">
        <f t="shared" si="0"/>
        <v>2375.3600000000006</v>
      </c>
      <c r="F31" s="57">
        <v>9501.4500000000007</v>
      </c>
      <c r="G31" s="229">
        <f>78817.8-1465.44</f>
        <v>77352.36</v>
      </c>
    </row>
    <row r="32" spans="1:8" x14ac:dyDescent="0.25">
      <c r="A32" s="72" t="s">
        <v>44</v>
      </c>
      <c r="B32" s="61">
        <v>50104990</v>
      </c>
      <c r="C32" s="57">
        <v>869633.94</v>
      </c>
      <c r="D32" s="57"/>
      <c r="E32" s="60">
        <f t="shared" si="0"/>
        <v>307061.71999999997</v>
      </c>
      <c r="F32" s="57">
        <v>307061.71999999997</v>
      </c>
      <c r="G32" s="229">
        <f>633073.77-11770.59</f>
        <v>621303.18000000005</v>
      </c>
    </row>
    <row r="33" spans="1:8" x14ac:dyDescent="0.25">
      <c r="A33" s="72" t="s">
        <v>45</v>
      </c>
      <c r="B33" s="52">
        <v>50102990</v>
      </c>
      <c r="C33" s="75">
        <v>60000</v>
      </c>
      <c r="D33" s="5"/>
      <c r="E33" s="60">
        <f t="shared" si="0"/>
        <v>55000</v>
      </c>
      <c r="F33" s="75">
        <v>55000</v>
      </c>
      <c r="G33" s="64">
        <f>75003-5000</f>
        <v>70003</v>
      </c>
    </row>
    <row r="34" spans="1:8" x14ac:dyDescent="0.25">
      <c r="A34" s="72" t="s">
        <v>129</v>
      </c>
      <c r="B34" s="52"/>
      <c r="C34" s="75">
        <v>538117.93000000005</v>
      </c>
      <c r="D34" s="70"/>
      <c r="E34" s="60">
        <f t="shared" si="0"/>
        <v>0</v>
      </c>
      <c r="F34" s="75"/>
      <c r="G34" s="64">
        <v>107033.16</v>
      </c>
    </row>
    <row r="35" spans="1:8" x14ac:dyDescent="0.25">
      <c r="A35" s="55" t="s">
        <v>58</v>
      </c>
      <c r="B35" s="37"/>
      <c r="C35" s="27">
        <f>SUM(C17:C34)</f>
        <v>10080440.549999999</v>
      </c>
      <c r="D35" s="12">
        <f>SUM(D18:D34)</f>
        <v>4711062.43</v>
      </c>
      <c r="E35" s="12">
        <f>SUM(E18:E34)</f>
        <v>4485405.29</v>
      </c>
      <c r="F35" s="12">
        <f>SUM(F18:F34)</f>
        <v>9196467.7199999988</v>
      </c>
      <c r="G35" s="27">
        <f>SUM(G17:G34)</f>
        <v>13035812.02</v>
      </c>
      <c r="H35" s="79">
        <f>G35-11990323.76</f>
        <v>1045488.2599999998</v>
      </c>
    </row>
    <row r="36" spans="1:8" x14ac:dyDescent="0.25">
      <c r="A36" s="8" t="s">
        <v>14</v>
      </c>
      <c r="B36" s="5"/>
      <c r="C36" s="203"/>
      <c r="D36" s="5"/>
      <c r="E36" s="5"/>
      <c r="F36" s="5"/>
      <c r="G36" s="23"/>
    </row>
    <row r="37" spans="1:8" x14ac:dyDescent="0.25">
      <c r="A37" s="54" t="s">
        <v>17</v>
      </c>
      <c r="B37" s="29">
        <v>50203010</v>
      </c>
      <c r="C37" s="70">
        <v>47795.93</v>
      </c>
      <c r="D37" s="167">
        <v>27188.45</v>
      </c>
      <c r="E37" s="59">
        <f>F37-D37</f>
        <v>11989.3</v>
      </c>
      <c r="F37" s="59">
        <v>39177.75</v>
      </c>
      <c r="G37" s="231">
        <v>50000</v>
      </c>
    </row>
    <row r="38" spans="1:8" x14ac:dyDescent="0.25">
      <c r="A38" s="54" t="s">
        <v>158</v>
      </c>
      <c r="B38" s="29">
        <v>50201010</v>
      </c>
      <c r="C38" s="70">
        <v>641336.24</v>
      </c>
      <c r="D38" s="167">
        <v>626198.98</v>
      </c>
      <c r="E38" s="59">
        <f t="shared" ref="E38:E51" si="1">F38-D38</f>
        <v>678817.5</v>
      </c>
      <c r="F38" s="59">
        <v>1305016.48</v>
      </c>
      <c r="G38" s="231">
        <v>300000</v>
      </c>
    </row>
    <row r="39" spans="1:8" x14ac:dyDescent="0.25">
      <c r="A39" s="54" t="s">
        <v>27</v>
      </c>
      <c r="B39" s="31">
        <v>50202010</v>
      </c>
      <c r="C39" s="70">
        <v>295670</v>
      </c>
      <c r="D39" s="167">
        <v>45820</v>
      </c>
      <c r="E39" s="59">
        <f t="shared" si="1"/>
        <v>7500</v>
      </c>
      <c r="F39" s="59">
        <v>53320</v>
      </c>
      <c r="G39" s="231">
        <v>200000</v>
      </c>
    </row>
    <row r="40" spans="1:8" x14ac:dyDescent="0.25">
      <c r="A40" s="54" t="s">
        <v>29</v>
      </c>
      <c r="B40" s="31">
        <v>50205020</v>
      </c>
      <c r="C40" s="70">
        <v>97086.6</v>
      </c>
      <c r="D40" s="167"/>
      <c r="E40" s="59">
        <f t="shared" si="1"/>
        <v>48832.33</v>
      </c>
      <c r="F40" s="59">
        <v>48832.33</v>
      </c>
      <c r="G40" s="231">
        <f>20000*9</f>
        <v>180000</v>
      </c>
    </row>
    <row r="41" spans="1:8" x14ac:dyDescent="0.25">
      <c r="A41" s="54" t="s">
        <v>163</v>
      </c>
      <c r="B41" s="31">
        <v>5021990</v>
      </c>
      <c r="C41" s="70">
        <v>618251.03</v>
      </c>
      <c r="D41" s="167"/>
      <c r="E41" s="59">
        <f t="shared" si="1"/>
        <v>0</v>
      </c>
      <c r="F41" s="59"/>
      <c r="G41" s="232"/>
    </row>
    <row r="42" spans="1:8" x14ac:dyDescent="0.25">
      <c r="A42" s="54" t="s">
        <v>31</v>
      </c>
      <c r="B42" s="31">
        <v>50213990</v>
      </c>
      <c r="C42" s="70">
        <v>1100</v>
      </c>
      <c r="D42" s="167">
        <v>5381.5</v>
      </c>
      <c r="E42" s="59">
        <f t="shared" si="1"/>
        <v>0</v>
      </c>
      <c r="F42" s="59">
        <v>5381.5</v>
      </c>
      <c r="G42" s="231">
        <v>23600</v>
      </c>
    </row>
    <row r="43" spans="1:8" x14ac:dyDescent="0.25">
      <c r="A43" s="54" t="s">
        <v>160</v>
      </c>
      <c r="B43" s="31"/>
      <c r="C43" s="70">
        <v>25577.77</v>
      </c>
      <c r="D43" s="167"/>
      <c r="E43" s="59">
        <f t="shared" si="1"/>
        <v>0</v>
      </c>
      <c r="F43" s="59"/>
      <c r="G43" s="231"/>
    </row>
    <row r="44" spans="1:8" x14ac:dyDescent="0.25">
      <c r="A44" s="54" t="s">
        <v>164</v>
      </c>
      <c r="B44" s="31"/>
      <c r="C44" s="199"/>
      <c r="D44" s="167">
        <v>18115</v>
      </c>
      <c r="E44" s="59">
        <f t="shared" si="1"/>
        <v>30433.75</v>
      </c>
      <c r="F44" s="59">
        <v>48548.75</v>
      </c>
      <c r="G44" s="231">
        <v>150000</v>
      </c>
    </row>
    <row r="45" spans="1:8" x14ac:dyDescent="0.25">
      <c r="A45" s="54" t="s">
        <v>165</v>
      </c>
      <c r="B45" s="31"/>
      <c r="C45" s="70">
        <v>89600</v>
      </c>
      <c r="D45" s="167">
        <v>103804</v>
      </c>
      <c r="E45" s="59">
        <f t="shared" si="1"/>
        <v>143740</v>
      </c>
      <c r="F45" s="59">
        <v>247544</v>
      </c>
      <c r="G45" s="231"/>
    </row>
    <row r="46" spans="1:8" x14ac:dyDescent="0.25">
      <c r="A46" s="22" t="s">
        <v>161</v>
      </c>
      <c r="B46" s="31"/>
      <c r="C46" s="70">
        <v>114000</v>
      </c>
      <c r="D46" s="167">
        <v>6500</v>
      </c>
      <c r="E46" s="59">
        <f t="shared" si="1"/>
        <v>25500</v>
      </c>
      <c r="F46" s="59">
        <v>32000</v>
      </c>
      <c r="G46" s="231">
        <v>50000</v>
      </c>
    </row>
    <row r="47" spans="1:8" x14ac:dyDescent="0.25">
      <c r="A47" s="54" t="s">
        <v>166</v>
      </c>
      <c r="B47" s="31"/>
      <c r="C47" s="199"/>
      <c r="D47" s="167"/>
      <c r="E47" s="59">
        <f t="shared" si="1"/>
        <v>50000</v>
      </c>
      <c r="F47" s="59">
        <v>50000</v>
      </c>
      <c r="G47" s="231">
        <v>50000</v>
      </c>
    </row>
    <row r="48" spans="1:8" x14ac:dyDescent="0.25">
      <c r="A48" s="7" t="s">
        <v>162</v>
      </c>
      <c r="B48" s="38">
        <v>50299990</v>
      </c>
      <c r="C48" s="70">
        <v>210755.8</v>
      </c>
      <c r="D48" s="167">
        <v>116430</v>
      </c>
      <c r="E48" s="59">
        <f t="shared" si="1"/>
        <v>106030</v>
      </c>
      <c r="F48" s="59">
        <v>222460</v>
      </c>
      <c r="G48" s="231">
        <v>233400</v>
      </c>
    </row>
    <row r="49" spans="1:8" x14ac:dyDescent="0.25">
      <c r="A49" s="54" t="s">
        <v>225</v>
      </c>
      <c r="B49" s="31">
        <v>50299990</v>
      </c>
      <c r="C49" s="70">
        <v>50000</v>
      </c>
      <c r="D49" s="167">
        <v>40000</v>
      </c>
      <c r="E49" s="59">
        <f t="shared" si="1"/>
        <v>0</v>
      </c>
      <c r="F49" s="59">
        <v>40000</v>
      </c>
      <c r="G49" s="231">
        <v>50000</v>
      </c>
    </row>
    <row r="50" spans="1:8" x14ac:dyDescent="0.25">
      <c r="A50" s="186" t="s">
        <v>226</v>
      </c>
      <c r="B50" s="31">
        <v>50299990</v>
      </c>
      <c r="C50" s="70">
        <v>25000</v>
      </c>
      <c r="D50" s="225"/>
      <c r="E50" s="59">
        <f t="shared" si="1"/>
        <v>25000</v>
      </c>
      <c r="F50" s="59">
        <v>25000</v>
      </c>
      <c r="G50" s="231">
        <v>25000</v>
      </c>
    </row>
    <row r="51" spans="1:8" x14ac:dyDescent="0.25">
      <c r="A51" s="54" t="s">
        <v>240</v>
      </c>
      <c r="B51" s="32"/>
      <c r="C51" s="73"/>
      <c r="D51" s="167">
        <v>32400</v>
      </c>
      <c r="E51" s="59">
        <f t="shared" si="1"/>
        <v>24910</v>
      </c>
      <c r="F51" s="59">
        <v>57310</v>
      </c>
      <c r="G51" s="233"/>
    </row>
    <row r="52" spans="1:8" x14ac:dyDescent="0.25">
      <c r="A52" s="39" t="s">
        <v>24</v>
      </c>
      <c r="B52" s="11"/>
      <c r="C52" s="27">
        <f>SUM(C37:C51)</f>
        <v>2216173.37</v>
      </c>
      <c r="D52" s="12">
        <f>SUM(D37:D51)</f>
        <v>1021837.9299999999</v>
      </c>
      <c r="E52" s="12">
        <f t="shared" ref="E52:G52" si="2">SUM(E37:E51)</f>
        <v>1152752.8799999999</v>
      </c>
      <c r="F52" s="12">
        <f t="shared" si="2"/>
        <v>2174590.81</v>
      </c>
      <c r="G52" s="27">
        <f t="shared" si="2"/>
        <v>1312000</v>
      </c>
      <c r="H52" s="179"/>
    </row>
    <row r="53" spans="1:8" x14ac:dyDescent="0.25">
      <c r="A53" s="39" t="s">
        <v>95</v>
      </c>
      <c r="B53" s="11"/>
      <c r="C53" s="27"/>
      <c r="D53" s="12"/>
      <c r="E53" s="12"/>
      <c r="F53" s="12"/>
      <c r="G53" s="27"/>
    </row>
    <row r="54" spans="1:8" x14ac:dyDescent="0.25">
      <c r="A54" s="178" t="s">
        <v>131</v>
      </c>
      <c r="B54" s="11"/>
      <c r="C54" s="66">
        <v>32149.35</v>
      </c>
      <c r="D54" s="169">
        <v>173624.4</v>
      </c>
      <c r="E54" s="169">
        <f>F54-D54</f>
        <v>66650.62</v>
      </c>
      <c r="F54" s="169">
        <v>240275.02</v>
      </c>
      <c r="G54" s="66"/>
    </row>
    <row r="55" spans="1:8" x14ac:dyDescent="0.25">
      <c r="A55" s="178" t="s">
        <v>227</v>
      </c>
      <c r="B55" s="11"/>
      <c r="C55" s="66"/>
      <c r="D55" s="169"/>
      <c r="E55" s="169"/>
      <c r="F55" s="169"/>
      <c r="G55" s="66">
        <v>1900000</v>
      </c>
    </row>
    <row r="56" spans="1:8" x14ac:dyDescent="0.25">
      <c r="A56" s="39" t="s">
        <v>132</v>
      </c>
      <c r="B56" s="11"/>
      <c r="C56" s="27">
        <f t="shared" ref="C56:F56" si="3">C54</f>
        <v>32149.35</v>
      </c>
      <c r="D56" s="12">
        <f t="shared" si="3"/>
        <v>173624.4</v>
      </c>
      <c r="E56" s="12">
        <f t="shared" si="3"/>
        <v>66650.62</v>
      </c>
      <c r="F56" s="12">
        <f t="shared" si="3"/>
        <v>240275.02</v>
      </c>
      <c r="G56" s="12">
        <f>SUM(G54:G55)</f>
        <v>1900000</v>
      </c>
    </row>
    <row r="57" spans="1:8" x14ac:dyDescent="0.25">
      <c r="A57" s="36" t="s">
        <v>61</v>
      </c>
      <c r="B57" s="37"/>
      <c r="C57" s="28">
        <f>C35+C52+C56</f>
        <v>12328763.269999998</v>
      </c>
      <c r="D57" s="68">
        <f t="shared" ref="D57:G57" si="4">D35+D52+D56</f>
        <v>5906524.7599999998</v>
      </c>
      <c r="E57" s="68">
        <f t="shared" si="4"/>
        <v>5704808.79</v>
      </c>
      <c r="F57" s="68">
        <f t="shared" si="4"/>
        <v>11611333.549999999</v>
      </c>
      <c r="G57" s="28">
        <f t="shared" si="4"/>
        <v>16247812.02</v>
      </c>
    </row>
    <row r="58" spans="1:8" ht="13.5" customHeight="1" x14ac:dyDescent="0.25">
      <c r="F58" s="79"/>
    </row>
    <row r="59" spans="1:8" ht="23.25" customHeight="1" x14ac:dyDescent="0.35">
      <c r="A59" s="154" t="s">
        <v>68</v>
      </c>
      <c r="B59" s="154" t="s">
        <v>69</v>
      </c>
      <c r="C59" s="194"/>
      <c r="D59" s="154"/>
      <c r="E59" s="154" t="s">
        <v>70</v>
      </c>
      <c r="F59" s="154"/>
      <c r="G59" s="152"/>
    </row>
    <row r="60" spans="1:8" ht="36" customHeight="1" x14ac:dyDescent="0.35">
      <c r="A60" s="154"/>
      <c r="B60" s="154"/>
      <c r="C60" s="194"/>
      <c r="D60" s="154"/>
      <c r="E60" s="154"/>
      <c r="F60" s="154"/>
      <c r="G60" s="152"/>
    </row>
    <row r="61" spans="1:8" ht="21" x14ac:dyDescent="0.35">
      <c r="A61" s="249" t="s">
        <v>167</v>
      </c>
      <c r="B61" s="180" t="s">
        <v>157</v>
      </c>
      <c r="C61" s="204"/>
      <c r="D61" s="180"/>
      <c r="E61" s="180" t="s">
        <v>167</v>
      </c>
      <c r="F61" s="181"/>
      <c r="G61" s="182"/>
    </row>
    <row r="62" spans="1:8" ht="21" x14ac:dyDescent="0.35">
      <c r="A62" s="250" t="s">
        <v>259</v>
      </c>
      <c r="B62" s="181" t="s">
        <v>67</v>
      </c>
      <c r="C62" s="205"/>
      <c r="D62" s="181"/>
      <c r="E62" s="181" t="s">
        <v>63</v>
      </c>
      <c r="F62" s="181"/>
      <c r="G62" s="182"/>
    </row>
    <row r="63" spans="1:8" ht="21" x14ac:dyDescent="0.35">
      <c r="A63" s="154"/>
      <c r="B63" s="154"/>
      <c r="C63" s="194"/>
      <c r="D63" s="154"/>
      <c r="E63" s="154"/>
      <c r="F63" s="154"/>
      <c r="G63" s="152"/>
    </row>
    <row r="64" spans="1:8" ht="21" x14ac:dyDescent="0.35">
      <c r="A64" s="154"/>
      <c r="B64" s="154"/>
      <c r="C64" s="194"/>
      <c r="D64" s="154"/>
      <c r="E64" s="154"/>
      <c r="F64" s="154"/>
      <c r="G64" s="152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G54"/>
  <sheetViews>
    <sheetView topLeftCell="A28" workbookViewId="0">
      <selection activeCell="A56" sqref="A56"/>
    </sheetView>
  </sheetViews>
  <sheetFormatPr defaultRowHeight="15" x14ac:dyDescent="0.25"/>
  <cols>
    <col min="1" max="1" width="49.7109375" style="4" customWidth="1"/>
    <col min="2" max="2" width="10.140625" style="4" customWidth="1"/>
    <col min="3" max="3" width="13.28515625" style="4" bestFit="1" customWidth="1"/>
    <col min="4" max="4" width="12.140625" style="4" customWidth="1"/>
    <col min="5" max="5" width="13.5703125" style="4" customWidth="1"/>
    <col min="6" max="7" width="13.28515625" style="4" bestFit="1" customWidth="1"/>
    <col min="8" max="8" width="47.5703125" style="4" bestFit="1" customWidth="1"/>
    <col min="9" max="16384" width="9.140625" style="4"/>
  </cols>
  <sheetData>
    <row r="1" spans="1:7" x14ac:dyDescent="0.25">
      <c r="A1" s="4" t="s">
        <v>9</v>
      </c>
      <c r="G1" t="s">
        <v>96</v>
      </c>
    </row>
    <row r="3" spans="1:7" ht="21" x14ac:dyDescent="0.35">
      <c r="A3" s="582" t="s">
        <v>10</v>
      </c>
      <c r="B3" s="582"/>
      <c r="C3" s="582"/>
      <c r="D3" s="582"/>
      <c r="E3" s="582"/>
      <c r="F3" s="582"/>
      <c r="G3" s="582"/>
    </row>
    <row r="4" spans="1:7" ht="21" x14ac:dyDescent="0.35">
      <c r="A4" s="582" t="s">
        <v>169</v>
      </c>
      <c r="B4" s="582"/>
      <c r="C4" s="582"/>
      <c r="D4" s="582"/>
      <c r="E4" s="582"/>
      <c r="F4" s="582"/>
      <c r="G4" s="582"/>
    </row>
    <row r="5" spans="1:7" x14ac:dyDescent="0.25">
      <c r="A5" s="1"/>
    </row>
    <row r="6" spans="1:7" ht="21" x14ac:dyDescent="0.35">
      <c r="A6" s="155" t="s">
        <v>91</v>
      </c>
    </row>
    <row r="7" spans="1:7" ht="21" x14ac:dyDescent="0.35">
      <c r="A7" s="154" t="s">
        <v>172</v>
      </c>
    </row>
    <row r="8" spans="1:7" ht="21" x14ac:dyDescent="0.35">
      <c r="A8" s="154" t="s">
        <v>97</v>
      </c>
    </row>
    <row r="10" spans="1:7" x14ac:dyDescent="0.25">
      <c r="A10" s="579" t="s">
        <v>0</v>
      </c>
      <c r="B10" s="577" t="s">
        <v>1</v>
      </c>
      <c r="C10" s="144" t="s">
        <v>2</v>
      </c>
      <c r="D10" s="579" t="s">
        <v>8</v>
      </c>
      <c r="E10" s="580"/>
      <c r="F10" s="581"/>
      <c r="G10" s="144" t="s">
        <v>3</v>
      </c>
    </row>
    <row r="11" spans="1:7" ht="60.75" customHeight="1" x14ac:dyDescent="0.25">
      <c r="A11" s="593"/>
      <c r="B11" s="578"/>
      <c r="C11" s="3" t="s">
        <v>4</v>
      </c>
      <c r="D11" s="163" t="s">
        <v>105</v>
      </c>
      <c r="E11" s="163" t="s">
        <v>103</v>
      </c>
      <c r="F11" s="144" t="s">
        <v>5</v>
      </c>
      <c r="G11" s="3" t="s">
        <v>6</v>
      </c>
    </row>
    <row r="12" spans="1:7" ht="16.5" customHeight="1" x14ac:dyDescent="0.25">
      <c r="A12" s="141"/>
      <c r="B12" s="3"/>
      <c r="C12" s="3">
        <v>2016</v>
      </c>
      <c r="D12" s="3" t="s">
        <v>4</v>
      </c>
      <c r="E12" s="3" t="s">
        <v>7</v>
      </c>
      <c r="F12" s="3"/>
      <c r="G12" s="3"/>
    </row>
    <row r="13" spans="1:7" x14ac:dyDescent="0.25">
      <c r="A13" s="141"/>
      <c r="B13" s="3"/>
      <c r="C13" s="3"/>
      <c r="D13" s="3">
        <v>2017</v>
      </c>
      <c r="E13" s="3">
        <v>2017</v>
      </c>
      <c r="F13" s="3"/>
      <c r="G13" s="3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ht="6" customHeight="1" x14ac:dyDescent="0.25">
      <c r="A15" s="140"/>
      <c r="B15" s="144"/>
      <c r="C15" s="144"/>
      <c r="D15" s="144"/>
      <c r="E15" s="144"/>
      <c r="F15" s="144"/>
      <c r="G15" s="144"/>
    </row>
    <row r="16" spans="1:7" x14ac:dyDescent="0.25">
      <c r="A16" s="6" t="s">
        <v>11</v>
      </c>
      <c r="B16" s="3"/>
      <c r="C16" s="3"/>
      <c r="D16" s="3"/>
      <c r="E16" s="3"/>
      <c r="F16" s="3"/>
      <c r="G16" s="3"/>
    </row>
    <row r="17" spans="1:7" x14ac:dyDescent="0.25">
      <c r="A17" s="54" t="s">
        <v>94</v>
      </c>
      <c r="B17" s="38">
        <v>50101010</v>
      </c>
      <c r="C17" s="87">
        <v>548352</v>
      </c>
      <c r="D17" s="57">
        <v>222414.5</v>
      </c>
      <c r="E17" s="60">
        <f>F17-D17</f>
        <v>96329.5</v>
      </c>
      <c r="F17" s="87">
        <v>318744</v>
      </c>
      <c r="G17" s="60">
        <v>732096</v>
      </c>
    </row>
    <row r="18" spans="1:7" x14ac:dyDescent="0.25">
      <c r="A18" s="54" t="s">
        <v>159</v>
      </c>
      <c r="B18" s="38"/>
      <c r="C18" s="57"/>
      <c r="D18" s="57"/>
      <c r="E18" s="60">
        <f t="shared" ref="E18:E31" si="0">F18-D18</f>
        <v>105672.31</v>
      </c>
      <c r="F18" s="87">
        <v>105672.31</v>
      </c>
      <c r="G18" s="60">
        <v>54000</v>
      </c>
    </row>
    <row r="19" spans="1:7" x14ac:dyDescent="0.25">
      <c r="A19" s="72" t="s">
        <v>52</v>
      </c>
      <c r="B19" s="52">
        <v>50102010</v>
      </c>
      <c r="C19" s="87">
        <v>24000</v>
      </c>
      <c r="D19" s="57">
        <v>9500</v>
      </c>
      <c r="E19" s="60">
        <f t="shared" si="0"/>
        <v>2500</v>
      </c>
      <c r="F19" s="87">
        <v>12000</v>
      </c>
      <c r="G19" s="60">
        <v>24000</v>
      </c>
    </row>
    <row r="20" spans="1:7" x14ac:dyDescent="0.25">
      <c r="A20" s="72" t="s">
        <v>51</v>
      </c>
      <c r="B20" s="52">
        <v>50102020</v>
      </c>
      <c r="C20" s="87">
        <v>67500</v>
      </c>
      <c r="D20" s="57"/>
      <c r="E20" s="60">
        <f t="shared" si="0"/>
        <v>0</v>
      </c>
      <c r="F20" s="87"/>
      <c r="G20" s="60">
        <v>67500</v>
      </c>
    </row>
    <row r="21" spans="1:7" x14ac:dyDescent="0.25">
      <c r="A21" s="72" t="s">
        <v>48</v>
      </c>
      <c r="B21" s="52">
        <v>50102030</v>
      </c>
      <c r="C21" s="87">
        <v>67500</v>
      </c>
      <c r="D21" s="57"/>
      <c r="E21" s="60">
        <f t="shared" si="0"/>
        <v>0</v>
      </c>
      <c r="F21" s="87"/>
      <c r="G21" s="60">
        <v>67500</v>
      </c>
    </row>
    <row r="22" spans="1:7" x14ac:dyDescent="0.25">
      <c r="A22" s="72" t="s">
        <v>49</v>
      </c>
      <c r="B22" s="52">
        <v>50102040</v>
      </c>
      <c r="C22" s="87">
        <v>5000</v>
      </c>
      <c r="D22" s="57"/>
      <c r="E22" s="60">
        <f t="shared" si="0"/>
        <v>5000</v>
      </c>
      <c r="F22" s="87">
        <v>5000</v>
      </c>
      <c r="G22" s="60">
        <v>5000</v>
      </c>
    </row>
    <row r="23" spans="1:7" x14ac:dyDescent="0.25">
      <c r="A23" s="72" t="s">
        <v>47</v>
      </c>
      <c r="B23" s="52">
        <v>50102150</v>
      </c>
      <c r="C23" s="87">
        <v>5000</v>
      </c>
      <c r="D23" s="57"/>
      <c r="E23" s="60">
        <f t="shared" si="0"/>
        <v>2500</v>
      </c>
      <c r="F23" s="87">
        <v>2500</v>
      </c>
      <c r="G23" s="60">
        <v>5000</v>
      </c>
    </row>
    <row r="24" spans="1:7" x14ac:dyDescent="0.25">
      <c r="A24" s="72" t="s">
        <v>46</v>
      </c>
      <c r="B24" s="52">
        <v>50102140</v>
      </c>
      <c r="C24" s="87">
        <f>91392-43196+720</f>
        <v>48916</v>
      </c>
      <c r="D24" s="57"/>
      <c r="E24" s="60">
        <f t="shared" si="0"/>
        <v>0</v>
      </c>
      <c r="F24" s="87"/>
      <c r="G24" s="60">
        <v>53124</v>
      </c>
    </row>
    <row r="25" spans="1:7" x14ac:dyDescent="0.25">
      <c r="A25" s="72" t="s">
        <v>39</v>
      </c>
      <c r="B25" s="52">
        <v>50102990</v>
      </c>
      <c r="C25" s="87">
        <v>43196</v>
      </c>
      <c r="D25" s="57"/>
      <c r="E25" s="60">
        <f t="shared" si="0"/>
        <v>0</v>
      </c>
      <c r="F25" s="87"/>
      <c r="G25" s="60">
        <v>61008</v>
      </c>
    </row>
    <row r="26" spans="1:7" x14ac:dyDescent="0.25">
      <c r="A26" s="72" t="s">
        <v>40</v>
      </c>
      <c r="B26" s="52">
        <v>50103010</v>
      </c>
      <c r="C26" s="87">
        <v>65802.240000000005</v>
      </c>
      <c r="D26" s="57">
        <v>21934.080000000002</v>
      </c>
      <c r="E26" s="60">
        <f t="shared" si="0"/>
        <v>7900.1999999999971</v>
      </c>
      <c r="F26" s="87">
        <v>29834.28</v>
      </c>
      <c r="G26" s="60">
        <v>87851.520000000004</v>
      </c>
    </row>
    <row r="27" spans="1:7" x14ac:dyDescent="0.25">
      <c r="A27" s="72" t="s">
        <v>41</v>
      </c>
      <c r="B27" s="52">
        <v>50103020</v>
      </c>
      <c r="C27" s="87">
        <v>1200</v>
      </c>
      <c r="D27" s="57">
        <v>400</v>
      </c>
      <c r="E27" s="60">
        <f t="shared" si="0"/>
        <v>200</v>
      </c>
      <c r="F27" s="87">
        <v>600</v>
      </c>
      <c r="G27" s="60">
        <v>1200</v>
      </c>
    </row>
    <row r="28" spans="1:7" x14ac:dyDescent="0.25">
      <c r="A28" s="72" t="s">
        <v>42</v>
      </c>
      <c r="B28" s="52">
        <v>50103030</v>
      </c>
      <c r="C28" s="87">
        <v>5250</v>
      </c>
      <c r="D28" s="57">
        <v>2187.5</v>
      </c>
      <c r="E28" s="60">
        <f t="shared" si="0"/>
        <v>875</v>
      </c>
      <c r="F28" s="87">
        <v>3062.5</v>
      </c>
      <c r="G28" s="60">
        <v>5250</v>
      </c>
    </row>
    <row r="29" spans="1:7" x14ac:dyDescent="0.25">
      <c r="A29" s="72" t="s">
        <v>43</v>
      </c>
      <c r="B29" s="52">
        <v>50103040</v>
      </c>
      <c r="C29" s="87">
        <v>1200</v>
      </c>
      <c r="D29" s="57">
        <v>400</v>
      </c>
      <c r="E29" s="60">
        <f t="shared" si="0"/>
        <v>200</v>
      </c>
      <c r="F29" s="87">
        <v>600</v>
      </c>
      <c r="G29" s="60">
        <v>7320.96</v>
      </c>
    </row>
    <row r="30" spans="1:7" x14ac:dyDescent="0.25">
      <c r="A30" s="72" t="s">
        <v>44</v>
      </c>
      <c r="B30" s="61">
        <v>50104990</v>
      </c>
      <c r="C30" s="87">
        <f>83684.12+1250</f>
        <v>84934.12</v>
      </c>
      <c r="D30" s="57"/>
      <c r="E30" s="60">
        <f t="shared" si="0"/>
        <v>50514.62</v>
      </c>
      <c r="F30" s="87">
        <v>50514.62</v>
      </c>
      <c r="G30" s="60">
        <v>58802.8</v>
      </c>
    </row>
    <row r="31" spans="1:7" x14ac:dyDescent="0.25">
      <c r="A31" s="72" t="s">
        <v>45</v>
      </c>
      <c r="B31" s="52">
        <v>50102990</v>
      </c>
      <c r="C31" s="218"/>
      <c r="D31" s="75"/>
      <c r="E31" s="60">
        <f t="shared" si="0"/>
        <v>5000</v>
      </c>
      <c r="F31" s="87">
        <v>5000</v>
      </c>
      <c r="G31" s="59">
        <v>5000</v>
      </c>
    </row>
    <row r="32" spans="1:7" x14ac:dyDescent="0.25">
      <c r="A32" s="27" t="s">
        <v>304</v>
      </c>
      <c r="B32" s="12"/>
      <c r="C32" s="12">
        <f>SUM(C17:C30)</f>
        <v>967850.36</v>
      </c>
      <c r="D32" s="12">
        <f>SUM(D17:D31)</f>
        <v>256836.08000000002</v>
      </c>
      <c r="E32" s="12">
        <f>SUM(E17:E31)</f>
        <v>276691.63</v>
      </c>
      <c r="F32" s="12">
        <f>SUM(F17:F31)</f>
        <v>533527.71</v>
      </c>
      <c r="G32" s="12">
        <f>SUM(G17:G31)</f>
        <v>1234653.28</v>
      </c>
    </row>
    <row r="33" spans="1:7" x14ac:dyDescent="0.25">
      <c r="A33" s="8" t="s">
        <v>14</v>
      </c>
      <c r="B33" s="5"/>
      <c r="C33" s="5"/>
      <c r="D33" s="5"/>
      <c r="E33" s="5"/>
      <c r="F33" s="5"/>
      <c r="G33" s="5"/>
    </row>
    <row r="34" spans="1:7" x14ac:dyDescent="0.25">
      <c r="A34" s="54" t="s">
        <v>17</v>
      </c>
      <c r="B34" s="29">
        <v>50203010</v>
      </c>
      <c r="C34" s="70"/>
      <c r="D34" s="40">
        <v>19549.89</v>
      </c>
      <c r="E34" s="59"/>
      <c r="F34" s="70">
        <f>SUM(D34:E34)</f>
        <v>19549.89</v>
      </c>
      <c r="G34" s="9"/>
    </row>
    <row r="35" spans="1:7" x14ac:dyDescent="0.25">
      <c r="A35" s="54" t="s">
        <v>158</v>
      </c>
      <c r="B35" s="29">
        <v>50201010</v>
      </c>
      <c r="C35" s="70">
        <v>64304.5</v>
      </c>
      <c r="D35" s="40">
        <v>26680</v>
      </c>
      <c r="E35" s="59">
        <f>F35-D35</f>
        <v>18037</v>
      </c>
      <c r="F35" s="59">
        <v>44717</v>
      </c>
      <c r="G35" s="9">
        <v>58000</v>
      </c>
    </row>
    <row r="36" spans="1:7" x14ac:dyDescent="0.25">
      <c r="A36" s="54" t="s">
        <v>27</v>
      </c>
      <c r="B36" s="31">
        <v>50202010</v>
      </c>
      <c r="C36" s="70">
        <v>23150</v>
      </c>
      <c r="D36" s="40">
        <v>540</v>
      </c>
      <c r="E36" s="59"/>
      <c r="F36" s="59">
        <f>SUM(D36:E36)</f>
        <v>540</v>
      </c>
      <c r="G36" s="9">
        <v>52500</v>
      </c>
    </row>
    <row r="37" spans="1:7" x14ac:dyDescent="0.25">
      <c r="A37" s="54" t="s">
        <v>29</v>
      </c>
      <c r="B37" s="31">
        <v>50205020</v>
      </c>
      <c r="C37" s="70"/>
      <c r="D37" s="40"/>
      <c r="E37" s="59"/>
      <c r="F37" s="59"/>
      <c r="G37" s="9"/>
    </row>
    <row r="38" spans="1:7" x14ac:dyDescent="0.25">
      <c r="A38" s="54" t="s">
        <v>163</v>
      </c>
      <c r="B38" s="31">
        <v>5021990</v>
      </c>
      <c r="C38" s="70">
        <v>92000</v>
      </c>
      <c r="D38" s="40">
        <v>14843.12</v>
      </c>
      <c r="E38" s="59">
        <v>2000</v>
      </c>
      <c r="F38" s="59">
        <f>D38+E38</f>
        <v>16843.120000000003</v>
      </c>
      <c r="G38" s="10">
        <v>50000</v>
      </c>
    </row>
    <row r="39" spans="1:7" x14ac:dyDescent="0.25">
      <c r="A39" s="54" t="s">
        <v>31</v>
      </c>
      <c r="B39" s="31">
        <v>50213990</v>
      </c>
      <c r="C39" s="70"/>
      <c r="D39" s="40"/>
      <c r="E39" s="59"/>
      <c r="F39" s="70"/>
      <c r="G39" s="10"/>
    </row>
    <row r="40" spans="1:7" x14ac:dyDescent="0.25">
      <c r="A40" s="54" t="s">
        <v>160</v>
      </c>
      <c r="B40" s="31"/>
      <c r="C40" s="70"/>
      <c r="D40" s="40"/>
      <c r="E40" s="59"/>
      <c r="F40" s="70"/>
      <c r="G40" s="10"/>
    </row>
    <row r="41" spans="1:7" x14ac:dyDescent="0.25">
      <c r="A41" s="54" t="s">
        <v>164</v>
      </c>
      <c r="B41" s="38">
        <v>50203090</v>
      </c>
      <c r="C41" s="70"/>
      <c r="D41" s="40"/>
      <c r="E41" s="59"/>
      <c r="F41" s="70"/>
      <c r="G41" s="10"/>
    </row>
    <row r="42" spans="1:7" x14ac:dyDescent="0.25">
      <c r="A42" s="54" t="s">
        <v>151</v>
      </c>
      <c r="B42" s="38"/>
      <c r="C42" s="70"/>
      <c r="D42" s="40"/>
      <c r="F42" s="70"/>
      <c r="G42" s="10"/>
    </row>
    <row r="43" spans="1:7" x14ac:dyDescent="0.25">
      <c r="A43" s="39" t="s">
        <v>303</v>
      </c>
      <c r="B43" s="11"/>
      <c r="C43" s="12">
        <f>SUM(C34:C41)</f>
        <v>179454.5</v>
      </c>
      <c r="D43" s="12">
        <f>SUM(D34:D41)</f>
        <v>61613.01</v>
      </c>
      <c r="E43" s="12">
        <f>SUM(E34:E41)</f>
        <v>20037</v>
      </c>
      <c r="F43" s="12">
        <f>SUM(F34:F41)</f>
        <v>81650.010000000009</v>
      </c>
      <c r="G43" s="12">
        <f>SUM(G34:G42)</f>
        <v>160500</v>
      </c>
    </row>
    <row r="44" spans="1:7" x14ac:dyDescent="0.25">
      <c r="A44" s="8" t="s">
        <v>95</v>
      </c>
      <c r="B44" s="5"/>
      <c r="C44" s="5"/>
      <c r="D44" s="5"/>
      <c r="E44" s="5"/>
      <c r="F44" s="5"/>
      <c r="G44" s="5"/>
    </row>
    <row r="45" spans="1:7" x14ac:dyDescent="0.25">
      <c r="A45" s="54" t="s">
        <v>131</v>
      </c>
      <c r="B45" s="5">
        <v>10705990</v>
      </c>
      <c r="C45" s="70">
        <v>38481.75</v>
      </c>
      <c r="D45" s="70"/>
      <c r="E45" s="5"/>
      <c r="F45" s="70"/>
      <c r="G45" s="70"/>
    </row>
    <row r="46" spans="1:7" x14ac:dyDescent="0.25">
      <c r="A46" s="11" t="s">
        <v>305</v>
      </c>
      <c r="B46" s="37"/>
      <c r="C46" s="12">
        <f>SUM(C45:C45)</f>
        <v>38481.75</v>
      </c>
      <c r="D46" s="12"/>
      <c r="E46" s="12"/>
      <c r="F46" s="12"/>
      <c r="G46" s="12">
        <f>SUM(G45:G45)</f>
        <v>0</v>
      </c>
    </row>
    <row r="47" spans="1:7" x14ac:dyDescent="0.25">
      <c r="A47" s="36" t="s">
        <v>61</v>
      </c>
      <c r="B47" s="37"/>
      <c r="C47" s="68">
        <f>C32+C43+C46</f>
        <v>1185786.6099999999</v>
      </c>
      <c r="D47" s="68">
        <f>D32+D43+D46</f>
        <v>318449.09000000003</v>
      </c>
      <c r="E47" s="68">
        <f>E32+E43+E46</f>
        <v>296728.63</v>
      </c>
      <c r="F47" s="68">
        <f>F32+F43+F46</f>
        <v>615177.72</v>
      </c>
      <c r="G47" s="68">
        <f>G32+G43+G46</f>
        <v>1395153.28</v>
      </c>
    </row>
    <row r="49" spans="1:7" ht="41.25" customHeight="1" x14ac:dyDescent="0.35">
      <c r="A49" s="154" t="s">
        <v>68</v>
      </c>
      <c r="B49" s="154" t="s">
        <v>69</v>
      </c>
      <c r="C49" s="154"/>
      <c r="D49" s="154"/>
      <c r="E49" s="154" t="s">
        <v>70</v>
      </c>
      <c r="F49" s="154"/>
      <c r="G49" s="154"/>
    </row>
    <row r="50" spans="1:7" ht="36" customHeight="1" x14ac:dyDescent="0.35">
      <c r="A50" s="154"/>
      <c r="B50" s="154"/>
      <c r="C50" s="154"/>
      <c r="D50" s="154"/>
      <c r="E50" s="154"/>
      <c r="F50" s="154"/>
      <c r="G50" s="154"/>
    </row>
    <row r="51" spans="1:7" ht="21" x14ac:dyDescent="0.35">
      <c r="A51" s="249" t="s">
        <v>168</v>
      </c>
      <c r="B51" s="180" t="s">
        <v>157</v>
      </c>
      <c r="C51" s="181"/>
      <c r="D51" s="181"/>
      <c r="E51" s="180" t="s">
        <v>248</v>
      </c>
      <c r="F51" s="181"/>
      <c r="G51" s="181"/>
    </row>
    <row r="52" spans="1:7" ht="21" x14ac:dyDescent="0.35">
      <c r="A52" s="250" t="s">
        <v>260</v>
      </c>
      <c r="B52" s="181" t="s">
        <v>67</v>
      </c>
      <c r="C52" s="181"/>
      <c r="D52" s="181"/>
      <c r="E52" s="181" t="s">
        <v>249</v>
      </c>
      <c r="F52" s="181"/>
      <c r="G52" s="181"/>
    </row>
    <row r="53" spans="1:7" ht="21" x14ac:dyDescent="0.35">
      <c r="A53" s="154"/>
      <c r="B53" s="158"/>
      <c r="C53" s="158"/>
      <c r="D53" s="158"/>
      <c r="E53" s="158"/>
      <c r="F53" s="158"/>
      <c r="G53" s="154"/>
    </row>
    <row r="54" spans="1:7" ht="21" x14ac:dyDescent="0.35">
      <c r="A54" s="154"/>
      <c r="B54" s="154"/>
      <c r="C54" s="154"/>
      <c r="D54" s="154"/>
      <c r="E54" s="154"/>
      <c r="F54" s="154"/>
      <c r="G54" s="154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63"/>
  <sheetViews>
    <sheetView topLeftCell="A46" zoomScale="102" zoomScaleNormal="102" workbookViewId="0">
      <selection activeCell="A60" sqref="A60"/>
    </sheetView>
  </sheetViews>
  <sheetFormatPr defaultRowHeight="15" x14ac:dyDescent="0.25"/>
  <cols>
    <col min="1" max="1" width="45.42578125" style="4" customWidth="1"/>
    <col min="2" max="2" width="10.140625" style="4" customWidth="1"/>
    <col min="3" max="3" width="13.42578125" style="193" bestFit="1" customWidth="1"/>
    <col min="4" max="4" width="11.5703125" style="4" bestFit="1" customWidth="1"/>
    <col min="5" max="5" width="13.7109375" style="4" customWidth="1"/>
    <col min="6" max="6" width="13.28515625" style="4" bestFit="1" customWidth="1"/>
    <col min="7" max="7" width="13.28515625" style="16" bestFit="1" customWidth="1"/>
    <col min="8" max="8" width="47.5703125" style="4" bestFit="1" customWidth="1"/>
    <col min="9" max="16384" width="9.140625" style="4"/>
  </cols>
  <sheetData>
    <row r="1" spans="1:7" x14ac:dyDescent="0.25">
      <c r="A1" s="4" t="s">
        <v>9</v>
      </c>
      <c r="G1" s="16" t="s">
        <v>96</v>
      </c>
    </row>
    <row r="3" spans="1:7" ht="21" x14ac:dyDescent="0.35">
      <c r="A3" s="582" t="s">
        <v>10</v>
      </c>
      <c r="B3" s="582"/>
      <c r="C3" s="582"/>
      <c r="D3" s="582"/>
      <c r="E3" s="582"/>
      <c r="F3" s="582"/>
      <c r="G3" s="582"/>
    </row>
    <row r="4" spans="1:7" ht="21" x14ac:dyDescent="0.35">
      <c r="A4" s="582" t="s">
        <v>170</v>
      </c>
      <c r="B4" s="582"/>
      <c r="C4" s="582"/>
      <c r="D4" s="582"/>
      <c r="E4" s="582"/>
      <c r="F4" s="582"/>
      <c r="G4" s="582"/>
    </row>
    <row r="5" spans="1:7" x14ac:dyDescent="0.25">
      <c r="A5" s="1"/>
    </row>
    <row r="6" spans="1:7" ht="21" x14ac:dyDescent="0.35">
      <c r="A6" s="155" t="s">
        <v>92</v>
      </c>
    </row>
    <row r="7" spans="1:7" ht="21" x14ac:dyDescent="0.35">
      <c r="A7" s="154" t="s">
        <v>171</v>
      </c>
    </row>
    <row r="8" spans="1:7" ht="21" x14ac:dyDescent="0.35">
      <c r="A8" s="154" t="s">
        <v>124</v>
      </c>
    </row>
    <row r="10" spans="1:7" x14ac:dyDescent="0.25">
      <c r="A10" s="579" t="s">
        <v>0</v>
      </c>
      <c r="B10" s="577" t="s">
        <v>1</v>
      </c>
      <c r="C10" s="17" t="s">
        <v>2</v>
      </c>
      <c r="D10" s="579" t="s">
        <v>8</v>
      </c>
      <c r="E10" s="580"/>
      <c r="F10" s="581"/>
      <c r="G10" s="17" t="s">
        <v>3</v>
      </c>
    </row>
    <row r="11" spans="1:7" ht="60.75" customHeight="1" x14ac:dyDescent="0.25">
      <c r="A11" s="593"/>
      <c r="B11" s="578"/>
      <c r="C11" s="18" t="s">
        <v>4</v>
      </c>
      <c r="D11" s="163" t="s">
        <v>105</v>
      </c>
      <c r="E11" s="163" t="s">
        <v>106</v>
      </c>
      <c r="F11" s="2" t="s">
        <v>5</v>
      </c>
      <c r="G11" s="18" t="s">
        <v>6</v>
      </c>
    </row>
    <row r="12" spans="1:7" x14ac:dyDescent="0.25">
      <c r="A12" s="84"/>
      <c r="B12" s="3"/>
      <c r="C12" s="18">
        <v>2016</v>
      </c>
      <c r="D12" s="3" t="s">
        <v>4</v>
      </c>
      <c r="E12" s="3" t="s">
        <v>7</v>
      </c>
      <c r="F12" s="3"/>
      <c r="G12" s="18"/>
    </row>
    <row r="13" spans="1:7" x14ac:dyDescent="0.25">
      <c r="A13" s="84"/>
      <c r="B13" s="3"/>
      <c r="C13" s="18"/>
      <c r="D13" s="3">
        <v>2017</v>
      </c>
      <c r="E13" s="3">
        <v>2017</v>
      </c>
      <c r="F13" s="3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83"/>
      <c r="B15" s="2"/>
      <c r="C15" s="195"/>
      <c r="D15" s="2"/>
      <c r="E15" s="2"/>
      <c r="F15" s="2"/>
      <c r="G15" s="17"/>
    </row>
    <row r="16" spans="1:7" x14ac:dyDescent="0.25">
      <c r="A16" s="6" t="s">
        <v>11</v>
      </c>
      <c r="B16" s="3"/>
      <c r="C16" s="196"/>
      <c r="D16" s="3"/>
      <c r="E16" s="3"/>
      <c r="F16" s="3"/>
      <c r="G16" s="18"/>
    </row>
    <row r="17" spans="1:7" hidden="1" x14ac:dyDescent="0.25">
      <c r="A17" s="54" t="s">
        <v>57</v>
      </c>
      <c r="B17" s="3"/>
      <c r="C17" s="196"/>
      <c r="D17" s="3"/>
      <c r="E17" s="3"/>
      <c r="F17" s="3"/>
      <c r="G17" s="18"/>
    </row>
    <row r="18" spans="1:7" x14ac:dyDescent="0.25">
      <c r="A18" s="54" t="s">
        <v>56</v>
      </c>
      <c r="B18" s="38">
        <v>50101010</v>
      </c>
      <c r="C18" s="57">
        <v>911794</v>
      </c>
      <c r="D18" s="74">
        <v>646450</v>
      </c>
      <c r="E18" s="60">
        <f>F18-D18</f>
        <v>181470</v>
      </c>
      <c r="F18" s="57">
        <v>827920</v>
      </c>
      <c r="G18" s="229">
        <v>1284612</v>
      </c>
    </row>
    <row r="19" spans="1:7" hidden="1" x14ac:dyDescent="0.25">
      <c r="A19" s="72" t="s">
        <v>55</v>
      </c>
      <c r="B19" s="52">
        <v>50101</v>
      </c>
      <c r="C19" s="202"/>
      <c r="D19" s="74"/>
      <c r="E19" s="60">
        <f t="shared" ref="E19:E36" si="0">F19-D19</f>
        <v>0</v>
      </c>
      <c r="F19" s="57"/>
      <c r="G19" s="43"/>
    </row>
    <row r="20" spans="1:7" hidden="1" x14ac:dyDescent="0.25">
      <c r="A20" s="72" t="s">
        <v>54</v>
      </c>
      <c r="B20" s="3"/>
      <c r="C20" s="202"/>
      <c r="D20" s="74"/>
      <c r="E20" s="60">
        <f t="shared" si="0"/>
        <v>0</v>
      </c>
      <c r="F20" s="57"/>
      <c r="G20" s="43"/>
    </row>
    <row r="21" spans="1:7" hidden="1" x14ac:dyDescent="0.25">
      <c r="A21" s="54" t="s">
        <v>53</v>
      </c>
      <c r="B21" s="3"/>
      <c r="C21" s="202"/>
      <c r="D21" s="74"/>
      <c r="E21" s="60">
        <f t="shared" si="0"/>
        <v>0</v>
      </c>
      <c r="F21" s="57"/>
      <c r="G21" s="43"/>
    </row>
    <row r="22" spans="1:7" x14ac:dyDescent="0.25">
      <c r="A22" s="54" t="s">
        <v>98</v>
      </c>
      <c r="B22" s="3"/>
      <c r="C22" s="202"/>
      <c r="D22" s="74">
        <v>48860</v>
      </c>
      <c r="E22" s="60">
        <f t="shared" si="0"/>
        <v>0</v>
      </c>
      <c r="F22" s="57">
        <v>48860</v>
      </c>
      <c r="G22" s="228">
        <v>50000</v>
      </c>
    </row>
    <row r="23" spans="1:7" x14ac:dyDescent="0.25">
      <c r="A23" s="72" t="s">
        <v>52</v>
      </c>
      <c r="B23" s="52">
        <v>50102010</v>
      </c>
      <c r="C23" s="57">
        <v>94000</v>
      </c>
      <c r="D23" s="74">
        <v>72000</v>
      </c>
      <c r="E23" s="60">
        <f t="shared" si="0"/>
        <v>16000</v>
      </c>
      <c r="F23" s="57">
        <v>88000</v>
      </c>
      <c r="G23" s="229">
        <v>120000</v>
      </c>
    </row>
    <row r="24" spans="1:7" x14ac:dyDescent="0.25">
      <c r="A24" s="72" t="s">
        <v>51</v>
      </c>
      <c r="B24" s="52">
        <v>50102020</v>
      </c>
      <c r="C24" s="57">
        <v>67500</v>
      </c>
      <c r="D24" s="74"/>
      <c r="E24" s="60">
        <f t="shared" si="0"/>
        <v>0</v>
      </c>
      <c r="F24" s="57"/>
      <c r="G24" s="229">
        <v>67500</v>
      </c>
    </row>
    <row r="25" spans="1:7" x14ac:dyDescent="0.25">
      <c r="A25" s="72" t="s">
        <v>48</v>
      </c>
      <c r="B25" s="52">
        <v>50102030</v>
      </c>
      <c r="C25" s="57">
        <v>67500</v>
      </c>
      <c r="D25" s="74"/>
      <c r="E25" s="60">
        <f t="shared" si="0"/>
        <v>0</v>
      </c>
      <c r="F25" s="57"/>
      <c r="G25" s="229">
        <v>67500</v>
      </c>
    </row>
    <row r="26" spans="1:7" x14ac:dyDescent="0.25">
      <c r="A26" s="72" t="s">
        <v>49</v>
      </c>
      <c r="B26" s="52">
        <v>50102040</v>
      </c>
      <c r="C26" s="57">
        <v>20000</v>
      </c>
      <c r="D26" s="74"/>
      <c r="E26" s="60">
        <f t="shared" si="0"/>
        <v>20000</v>
      </c>
      <c r="F26" s="57">
        <v>20000</v>
      </c>
      <c r="G26" s="229">
        <v>25000</v>
      </c>
    </row>
    <row r="27" spans="1:7" hidden="1" x14ac:dyDescent="0.25">
      <c r="A27" s="72" t="s">
        <v>50</v>
      </c>
      <c r="B27" s="52">
        <v>50102080</v>
      </c>
      <c r="C27" s="202"/>
      <c r="D27" s="74"/>
      <c r="E27" s="60">
        <f t="shared" si="0"/>
        <v>0</v>
      </c>
      <c r="F27" s="57"/>
      <c r="G27" s="43"/>
    </row>
    <row r="28" spans="1:7" x14ac:dyDescent="0.25">
      <c r="A28" s="72" t="s">
        <v>47</v>
      </c>
      <c r="B28" s="52">
        <v>50102150</v>
      </c>
      <c r="C28" s="57">
        <v>20000</v>
      </c>
      <c r="D28" s="74"/>
      <c r="E28" s="60">
        <f t="shared" si="0"/>
        <v>20000</v>
      </c>
      <c r="F28" s="57">
        <v>20000</v>
      </c>
      <c r="G28" s="229">
        <v>25000</v>
      </c>
    </row>
    <row r="29" spans="1:7" x14ac:dyDescent="0.25">
      <c r="A29" s="72" t="s">
        <v>46</v>
      </c>
      <c r="B29" s="52">
        <v>50102140</v>
      </c>
      <c r="C29" s="57">
        <f>169698-64849-800</f>
        <v>104049</v>
      </c>
      <c r="D29" s="74"/>
      <c r="E29" s="60">
        <f t="shared" si="0"/>
        <v>82792</v>
      </c>
      <c r="F29" s="57">
        <v>82792</v>
      </c>
      <c r="G29" s="229">
        <v>107051</v>
      </c>
    </row>
    <row r="30" spans="1:7" x14ac:dyDescent="0.25">
      <c r="A30" s="72" t="s">
        <v>39</v>
      </c>
      <c r="B30" s="52">
        <v>50102990</v>
      </c>
      <c r="C30" s="57">
        <v>64849</v>
      </c>
      <c r="D30" s="74"/>
      <c r="E30" s="60">
        <f t="shared" si="0"/>
        <v>82792</v>
      </c>
      <c r="F30" s="57">
        <v>82792</v>
      </c>
      <c r="G30" s="229">
        <v>107051</v>
      </c>
    </row>
    <row r="31" spans="1:7" x14ac:dyDescent="0.25">
      <c r="A31" s="72" t="s">
        <v>40</v>
      </c>
      <c r="B31" s="52">
        <v>50103010</v>
      </c>
      <c r="C31" s="57">
        <v>107180.61</v>
      </c>
      <c r="D31" s="74">
        <v>57703.92</v>
      </c>
      <c r="E31" s="60">
        <f t="shared" si="0"/>
        <v>21776.400000000009</v>
      </c>
      <c r="F31" s="57">
        <v>79480.320000000007</v>
      </c>
      <c r="G31" s="229">
        <v>154153.44</v>
      </c>
    </row>
    <row r="32" spans="1:7" x14ac:dyDescent="0.25">
      <c r="A32" s="72" t="s">
        <v>41</v>
      </c>
      <c r="B32" s="52">
        <v>50103020</v>
      </c>
      <c r="C32" s="57">
        <v>4800</v>
      </c>
      <c r="D32" s="74">
        <v>2400</v>
      </c>
      <c r="E32" s="60">
        <f t="shared" si="0"/>
        <v>800</v>
      </c>
      <c r="F32" s="57">
        <v>3200</v>
      </c>
      <c r="G32" s="229">
        <v>6000</v>
      </c>
    </row>
    <row r="33" spans="1:7" x14ac:dyDescent="0.25">
      <c r="A33" s="72" t="s">
        <v>42</v>
      </c>
      <c r="B33" s="52">
        <v>50103030</v>
      </c>
      <c r="C33" s="57">
        <v>9500</v>
      </c>
      <c r="D33" s="74">
        <v>7875</v>
      </c>
      <c r="E33" s="60">
        <f t="shared" si="0"/>
        <v>1575</v>
      </c>
      <c r="F33" s="57">
        <v>9450</v>
      </c>
      <c r="G33" s="229">
        <v>10350</v>
      </c>
    </row>
    <row r="34" spans="1:7" x14ac:dyDescent="0.25">
      <c r="A34" s="72" t="s">
        <v>43</v>
      </c>
      <c r="B34" s="52">
        <v>50103040</v>
      </c>
      <c r="C34" s="57">
        <v>4602.74</v>
      </c>
      <c r="D34" s="74">
        <v>2309.42</v>
      </c>
      <c r="E34" s="60">
        <f t="shared" si="0"/>
        <v>772.31999999999971</v>
      </c>
      <c r="F34" s="57">
        <v>3081.74</v>
      </c>
      <c r="G34" s="229">
        <v>12846.12</v>
      </c>
    </row>
    <row r="35" spans="1:7" x14ac:dyDescent="0.25">
      <c r="A35" s="72" t="s">
        <v>44</v>
      </c>
      <c r="B35" s="52">
        <v>50104990</v>
      </c>
      <c r="C35" s="57">
        <v>97044.18</v>
      </c>
      <c r="D35" s="74"/>
      <c r="E35" s="60">
        <f t="shared" si="0"/>
        <v>79799.399999999994</v>
      </c>
      <c r="F35" s="57">
        <v>79799.399999999994</v>
      </c>
      <c r="G35" s="229">
        <v>88564.69</v>
      </c>
    </row>
    <row r="36" spans="1:7" x14ac:dyDescent="0.25">
      <c r="A36" s="72" t="s">
        <v>45</v>
      </c>
      <c r="B36" s="52">
        <v>50102990</v>
      </c>
      <c r="C36" s="57">
        <v>20000</v>
      </c>
      <c r="D36" s="74"/>
      <c r="E36" s="60">
        <f t="shared" si="0"/>
        <v>20000</v>
      </c>
      <c r="F36" s="57">
        <v>20000</v>
      </c>
      <c r="G36" s="229">
        <v>25000</v>
      </c>
    </row>
    <row r="37" spans="1:7" x14ac:dyDescent="0.25">
      <c r="A37" s="27" t="s">
        <v>58</v>
      </c>
      <c r="B37" s="58"/>
      <c r="C37" s="63">
        <f>SUM(C17:C36)</f>
        <v>1592819.53</v>
      </c>
      <c r="D37" s="58">
        <f t="shared" ref="D37:F37" si="1">SUM(D17:D36)</f>
        <v>837598.34000000008</v>
      </c>
      <c r="E37" s="58">
        <f t="shared" si="1"/>
        <v>527777.12</v>
      </c>
      <c r="F37" s="58">
        <f t="shared" si="1"/>
        <v>1365375.46</v>
      </c>
      <c r="G37" s="63">
        <f t="shared" ref="G37" si="2">SUM(G17:G36)</f>
        <v>2150628.25</v>
      </c>
    </row>
    <row r="38" spans="1:7" x14ac:dyDescent="0.25">
      <c r="A38" s="8" t="s">
        <v>14</v>
      </c>
      <c r="B38" s="5"/>
      <c r="C38" s="203"/>
      <c r="D38" s="5"/>
      <c r="E38" s="5"/>
      <c r="F38" s="5"/>
      <c r="G38" s="23"/>
    </row>
    <row r="39" spans="1:7" x14ac:dyDescent="0.25">
      <c r="A39" s="54" t="s">
        <v>17</v>
      </c>
      <c r="B39" s="29">
        <v>50203010</v>
      </c>
      <c r="C39" s="70">
        <v>41775.69</v>
      </c>
      <c r="D39" s="70">
        <v>26658.12</v>
      </c>
      <c r="E39" s="105">
        <f>F39-D39</f>
        <v>48230.130000000005</v>
      </c>
      <c r="F39" s="105">
        <v>74888.25</v>
      </c>
      <c r="G39" s="9">
        <v>75000</v>
      </c>
    </row>
    <row r="40" spans="1:7" x14ac:dyDescent="0.25">
      <c r="A40" s="54" t="s">
        <v>158</v>
      </c>
      <c r="B40" s="29">
        <v>50201010</v>
      </c>
      <c r="C40" s="70">
        <f>70547+43202</f>
        <v>113749</v>
      </c>
      <c r="D40" s="70">
        <v>49005.5</v>
      </c>
      <c r="E40" s="105">
        <f t="shared" ref="E40:E44" si="3">F40-D40</f>
        <v>68259</v>
      </c>
      <c r="F40" s="105">
        <v>117264.5</v>
      </c>
      <c r="G40" s="9">
        <v>80000</v>
      </c>
    </row>
    <row r="41" spans="1:7" x14ac:dyDescent="0.25">
      <c r="A41" s="54" t="s">
        <v>27</v>
      </c>
      <c r="B41" s="31">
        <v>50202010</v>
      </c>
      <c r="C41" s="70">
        <v>37400</v>
      </c>
      <c r="D41" s="70">
        <v>19737</v>
      </c>
      <c r="E41" s="105">
        <f t="shared" si="3"/>
        <v>14527</v>
      </c>
      <c r="F41" s="105">
        <v>34264</v>
      </c>
      <c r="G41" s="9">
        <v>62000</v>
      </c>
    </row>
    <row r="42" spans="1:7" x14ac:dyDescent="0.25">
      <c r="A42" s="54" t="s">
        <v>29</v>
      </c>
      <c r="B42" s="31">
        <v>50205020</v>
      </c>
      <c r="C42" s="192"/>
      <c r="D42" s="70"/>
      <c r="E42" s="105">
        <f t="shared" si="3"/>
        <v>0</v>
      </c>
      <c r="F42" s="105"/>
      <c r="G42" s="9">
        <v>18000</v>
      </c>
    </row>
    <row r="43" spans="1:7" x14ac:dyDescent="0.25">
      <c r="A43" s="54" t="s">
        <v>163</v>
      </c>
      <c r="B43" s="31">
        <v>5021990</v>
      </c>
      <c r="C43" s="70">
        <v>143160.5</v>
      </c>
      <c r="D43" s="70">
        <v>6743</v>
      </c>
      <c r="E43" s="105">
        <f t="shared" si="3"/>
        <v>80937.11</v>
      </c>
      <c r="F43" s="105">
        <v>87680.11</v>
      </c>
      <c r="G43" s="9">
        <v>50000</v>
      </c>
    </row>
    <row r="44" spans="1:7" x14ac:dyDescent="0.25">
      <c r="A44" s="54" t="s">
        <v>31</v>
      </c>
      <c r="B44" s="31">
        <v>50213990</v>
      </c>
      <c r="C44" s="70">
        <v>20975.58</v>
      </c>
      <c r="D44" s="70">
        <v>1255</v>
      </c>
      <c r="E44" s="105">
        <f t="shared" si="3"/>
        <v>23298.68</v>
      </c>
      <c r="F44" s="105">
        <v>24553.68</v>
      </c>
      <c r="G44" s="9">
        <v>35000</v>
      </c>
    </row>
    <row r="45" spans="1:7" x14ac:dyDescent="0.25">
      <c r="A45" s="54" t="s">
        <v>160</v>
      </c>
      <c r="B45" s="31"/>
      <c r="C45" s="192"/>
      <c r="D45" s="70"/>
      <c r="E45" s="105"/>
      <c r="F45" s="70"/>
      <c r="G45" s="9"/>
    </row>
    <row r="46" spans="1:7" x14ac:dyDescent="0.25">
      <c r="A46" s="54" t="s">
        <v>164</v>
      </c>
      <c r="B46" s="38">
        <v>50203090</v>
      </c>
      <c r="C46" s="206"/>
      <c r="D46" s="70"/>
      <c r="E46" s="105"/>
      <c r="F46" s="70"/>
      <c r="G46" s="47"/>
    </row>
    <row r="47" spans="1:7" x14ac:dyDescent="0.25">
      <c r="A47" s="54" t="s">
        <v>174</v>
      </c>
      <c r="B47" s="38"/>
      <c r="C47" s="206"/>
      <c r="D47" s="70"/>
      <c r="E47" s="105"/>
      <c r="F47" s="70"/>
      <c r="G47" s="47">
        <v>50000</v>
      </c>
    </row>
    <row r="48" spans="1:7" x14ac:dyDescent="0.25">
      <c r="A48" s="54"/>
      <c r="B48" s="38"/>
      <c r="C48" s="199"/>
      <c r="D48" s="70"/>
      <c r="E48" s="105"/>
      <c r="F48" s="70"/>
      <c r="G48" s="47"/>
    </row>
    <row r="49" spans="1:8" x14ac:dyDescent="0.25">
      <c r="A49" s="54"/>
      <c r="B49" s="38"/>
      <c r="C49" s="199"/>
      <c r="D49" s="218"/>
      <c r="E49" s="105"/>
      <c r="F49" s="70"/>
      <c r="G49" s="47"/>
    </row>
    <row r="50" spans="1:8" x14ac:dyDescent="0.25">
      <c r="A50" s="39" t="s">
        <v>24</v>
      </c>
      <c r="B50" s="11"/>
      <c r="C50" s="27">
        <f>SUM(C39:C47)</f>
        <v>357060.77</v>
      </c>
      <c r="D50" s="224">
        <f>SUM(D39:D48)</f>
        <v>103398.62</v>
      </c>
      <c r="E50" s="12">
        <f>SUM(E39:E49)</f>
        <v>235251.91999999998</v>
      </c>
      <c r="F50" s="12">
        <f>SUM(F39:F49)</f>
        <v>338650.54</v>
      </c>
      <c r="G50" s="27">
        <f>SUM(G39:G49)</f>
        <v>370000</v>
      </c>
    </row>
    <row r="51" spans="1:8" x14ac:dyDescent="0.25">
      <c r="A51" s="8" t="s">
        <v>95</v>
      </c>
      <c r="B51" s="5"/>
      <c r="C51" s="200"/>
      <c r="D51" s="12"/>
      <c r="E51" s="12"/>
      <c r="F51" s="12"/>
      <c r="G51" s="27"/>
    </row>
    <row r="52" spans="1:8" x14ac:dyDescent="0.25">
      <c r="A52" s="54" t="s">
        <v>131</v>
      </c>
      <c r="B52" s="5">
        <v>10705990</v>
      </c>
      <c r="C52" s="12">
        <v>49024.25</v>
      </c>
      <c r="D52" s="169">
        <v>12489.25</v>
      </c>
      <c r="E52" s="169">
        <v>0</v>
      </c>
      <c r="F52" s="169">
        <v>12489.25</v>
      </c>
      <c r="G52" s="66"/>
    </row>
    <row r="53" spans="1:8" x14ac:dyDescent="0.25">
      <c r="A53" s="11" t="s">
        <v>60</v>
      </c>
      <c r="B53" s="11"/>
      <c r="C53" s="12">
        <f t="shared" ref="C53" si="4">C52</f>
        <v>49024.25</v>
      </c>
      <c r="D53" s="12"/>
      <c r="E53" s="12"/>
      <c r="F53" s="12"/>
      <c r="G53" s="27"/>
    </row>
    <row r="54" spans="1:8" x14ac:dyDescent="0.25">
      <c r="A54" s="36" t="s">
        <v>61</v>
      </c>
      <c r="B54" s="37"/>
      <c r="C54" s="28">
        <f>C37+C50+C53</f>
        <v>1998904.55</v>
      </c>
      <c r="D54" s="68">
        <f>SUM(D50:D53)</f>
        <v>115887.87</v>
      </c>
      <c r="E54" s="68">
        <f>E50+E52</f>
        <v>235251.91999999998</v>
      </c>
      <c r="F54" s="68">
        <f>F50+F52</f>
        <v>351139.79</v>
      </c>
      <c r="G54" s="28">
        <f>G37+G50+G53</f>
        <v>2520628.25</v>
      </c>
      <c r="H54" s="79"/>
    </row>
    <row r="56" spans="1:8" ht="27.75" customHeight="1" x14ac:dyDescent="0.35">
      <c r="A56" s="154" t="s">
        <v>68</v>
      </c>
      <c r="B56" s="154" t="s">
        <v>69</v>
      </c>
      <c r="C56" s="194"/>
      <c r="D56" s="154"/>
      <c r="E56" s="154" t="s">
        <v>306</v>
      </c>
      <c r="F56" s="154"/>
      <c r="G56" s="152"/>
      <c r="H56" s="79"/>
    </row>
    <row r="57" spans="1:8" ht="30.75" customHeight="1" x14ac:dyDescent="0.35">
      <c r="A57" s="154"/>
      <c r="B57" s="154"/>
      <c r="C57" s="194"/>
      <c r="D57" s="154"/>
      <c r="E57" s="154"/>
      <c r="F57" s="154"/>
      <c r="G57" s="152"/>
    </row>
    <row r="58" spans="1:8" ht="21" x14ac:dyDescent="0.35">
      <c r="A58" s="249" t="s">
        <v>175</v>
      </c>
      <c r="B58" s="180" t="s">
        <v>157</v>
      </c>
      <c r="C58" s="205"/>
      <c r="D58" s="181"/>
      <c r="E58" s="180" t="s">
        <v>250</v>
      </c>
      <c r="F58" s="181"/>
      <c r="G58" s="182"/>
    </row>
    <row r="59" spans="1:8" ht="21" x14ac:dyDescent="0.35">
      <c r="A59" s="250" t="s">
        <v>15</v>
      </c>
      <c r="B59" s="181" t="s">
        <v>67</v>
      </c>
      <c r="C59" s="205"/>
      <c r="D59" s="181"/>
      <c r="E59" s="181" t="s">
        <v>251</v>
      </c>
      <c r="F59" s="181"/>
      <c r="G59" s="182"/>
    </row>
    <row r="60" spans="1:8" ht="21" x14ac:dyDescent="0.35">
      <c r="A60" s="154"/>
      <c r="B60" s="154"/>
      <c r="C60" s="194"/>
      <c r="D60" s="154"/>
      <c r="E60" s="154"/>
      <c r="F60" s="154"/>
      <c r="G60" s="152"/>
    </row>
    <row r="61" spans="1:8" ht="21" x14ac:dyDescent="0.35">
      <c r="A61" s="154"/>
      <c r="B61" s="154"/>
      <c r="C61" s="194"/>
      <c r="D61" s="154"/>
      <c r="E61" s="154"/>
      <c r="F61" s="154"/>
      <c r="G61" s="152"/>
    </row>
    <row r="62" spans="1:8" ht="21" x14ac:dyDescent="0.35">
      <c r="A62" s="154"/>
      <c r="B62" s="154"/>
      <c r="C62" s="194"/>
      <c r="D62" s="154"/>
      <c r="E62" s="154"/>
      <c r="F62" s="154"/>
      <c r="G62" s="152"/>
    </row>
    <row r="63" spans="1:8" ht="21" x14ac:dyDescent="0.35">
      <c r="A63" s="154"/>
      <c r="B63" s="154"/>
      <c r="C63" s="194"/>
      <c r="D63" s="154"/>
      <c r="E63" s="154"/>
      <c r="F63" s="154"/>
      <c r="G63" s="152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I59"/>
  <sheetViews>
    <sheetView topLeftCell="A24" workbookViewId="0">
      <selection activeCell="A60" sqref="A60"/>
    </sheetView>
  </sheetViews>
  <sheetFormatPr defaultRowHeight="15" x14ac:dyDescent="0.25"/>
  <cols>
    <col min="1" max="1" width="47.5703125" style="4" customWidth="1"/>
    <col min="2" max="2" width="10.140625" style="4" customWidth="1"/>
    <col min="3" max="3" width="13.28515625" style="4" bestFit="1" customWidth="1"/>
    <col min="4" max="4" width="11.5703125" style="4" bestFit="1" customWidth="1"/>
    <col min="5" max="5" width="14.7109375" style="4" customWidth="1"/>
    <col min="6" max="7" width="13.28515625" style="4" bestFit="1" customWidth="1"/>
    <col min="8" max="8" width="47.5703125" style="4" bestFit="1" customWidth="1"/>
    <col min="9" max="16384" width="9.140625" style="4"/>
  </cols>
  <sheetData>
    <row r="1" spans="1:7" x14ac:dyDescent="0.25">
      <c r="A1" s="4" t="s">
        <v>9</v>
      </c>
      <c r="G1" t="s">
        <v>96</v>
      </c>
    </row>
    <row r="3" spans="1:7" ht="18.75" x14ac:dyDescent="0.3">
      <c r="A3" s="594" t="s">
        <v>10</v>
      </c>
      <c r="B3" s="594"/>
      <c r="C3" s="594"/>
      <c r="D3" s="594"/>
      <c r="E3" s="594"/>
      <c r="F3" s="594"/>
      <c r="G3" s="594"/>
    </row>
    <row r="4" spans="1:7" ht="18.75" x14ac:dyDescent="0.3">
      <c r="A4" s="594" t="s">
        <v>127</v>
      </c>
      <c r="B4" s="594"/>
      <c r="C4" s="594"/>
      <c r="D4" s="594"/>
      <c r="E4" s="594"/>
      <c r="F4" s="594"/>
      <c r="G4" s="594"/>
    </row>
    <row r="5" spans="1:7" ht="18.75" x14ac:dyDescent="0.3">
      <c r="A5" s="149"/>
      <c r="B5" s="149"/>
      <c r="C5" s="149"/>
      <c r="D5" s="149"/>
      <c r="E5" s="149"/>
      <c r="F5" s="149"/>
      <c r="G5" s="149"/>
    </row>
    <row r="6" spans="1:7" ht="18.75" x14ac:dyDescent="0.3">
      <c r="A6" s="147" t="s">
        <v>72</v>
      </c>
      <c r="B6" s="147"/>
      <c r="C6" s="147"/>
      <c r="D6" s="147"/>
      <c r="E6" s="147"/>
      <c r="F6" s="147"/>
      <c r="G6" s="147"/>
    </row>
    <row r="7" spans="1:7" ht="18.75" x14ac:dyDescent="0.3">
      <c r="A7" s="147" t="s">
        <v>176</v>
      </c>
      <c r="B7" s="147"/>
      <c r="C7" s="147"/>
      <c r="D7" s="147"/>
      <c r="E7" s="147"/>
      <c r="F7" s="147"/>
      <c r="G7" s="147"/>
    </row>
    <row r="8" spans="1:7" ht="18.75" x14ac:dyDescent="0.3">
      <c r="A8" s="147" t="s">
        <v>73</v>
      </c>
      <c r="B8" s="147"/>
      <c r="C8" s="147"/>
      <c r="D8" s="147"/>
      <c r="E8" s="147"/>
      <c r="F8" s="147"/>
      <c r="G8" s="147"/>
    </row>
    <row r="10" spans="1:7" x14ac:dyDescent="0.25">
      <c r="A10" s="579" t="s">
        <v>0</v>
      </c>
      <c r="B10" s="577" t="s">
        <v>1</v>
      </c>
      <c r="C10" s="144" t="s">
        <v>2</v>
      </c>
      <c r="D10" s="579" t="s">
        <v>8</v>
      </c>
      <c r="E10" s="580"/>
      <c r="F10" s="581"/>
      <c r="G10" s="144" t="s">
        <v>3</v>
      </c>
    </row>
    <row r="11" spans="1:7" ht="55.5" customHeight="1" x14ac:dyDescent="0.25">
      <c r="A11" s="593"/>
      <c r="B11" s="578"/>
      <c r="C11" s="3" t="s">
        <v>4</v>
      </c>
      <c r="D11" s="163" t="s">
        <v>109</v>
      </c>
      <c r="E11" s="163" t="s">
        <v>110</v>
      </c>
      <c r="F11" s="144" t="s">
        <v>5</v>
      </c>
      <c r="G11" s="3" t="s">
        <v>6</v>
      </c>
    </row>
    <row r="12" spans="1:7" x14ac:dyDescent="0.25">
      <c r="A12" s="141"/>
      <c r="B12" s="3"/>
      <c r="C12" s="3">
        <v>2016</v>
      </c>
      <c r="D12" s="3" t="s">
        <v>4</v>
      </c>
      <c r="E12" s="3" t="s">
        <v>7</v>
      </c>
      <c r="F12" s="3"/>
      <c r="G12" s="3"/>
    </row>
    <row r="13" spans="1:7" x14ac:dyDescent="0.25">
      <c r="A13" s="141"/>
      <c r="B13" s="3"/>
      <c r="C13" s="3"/>
      <c r="D13" s="3">
        <v>2017</v>
      </c>
      <c r="E13" s="3">
        <v>2017</v>
      </c>
      <c r="F13" s="3"/>
      <c r="G13" s="3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140"/>
      <c r="B15" s="144"/>
      <c r="C15" s="144"/>
      <c r="D15" s="144"/>
      <c r="E15" s="144"/>
      <c r="F15" s="144"/>
      <c r="G15" s="144"/>
    </row>
    <row r="16" spans="1:7" x14ac:dyDescent="0.25">
      <c r="A16" s="6" t="s">
        <v>11</v>
      </c>
      <c r="B16" s="3"/>
      <c r="C16" s="3"/>
      <c r="D16" s="3"/>
      <c r="E16" s="3"/>
      <c r="F16" s="3"/>
      <c r="G16" s="3"/>
    </row>
    <row r="17" spans="1:7" hidden="1" x14ac:dyDescent="0.25">
      <c r="A17" s="54" t="s">
        <v>57</v>
      </c>
      <c r="B17" s="3"/>
      <c r="C17" s="3"/>
      <c r="D17" s="3"/>
      <c r="E17" s="3"/>
      <c r="F17" s="3"/>
      <c r="G17" s="3"/>
    </row>
    <row r="18" spans="1:7" x14ac:dyDescent="0.25">
      <c r="A18" s="54" t="s">
        <v>56</v>
      </c>
      <c r="B18" s="38">
        <v>50101010</v>
      </c>
      <c r="C18" s="74">
        <v>749452</v>
      </c>
      <c r="D18" s="74">
        <v>667388</v>
      </c>
      <c r="E18" s="60">
        <f>F18-D18</f>
        <v>150568</v>
      </c>
      <c r="F18" s="74">
        <v>817956</v>
      </c>
      <c r="G18" s="60">
        <v>927720</v>
      </c>
    </row>
    <row r="19" spans="1:7" hidden="1" x14ac:dyDescent="0.25">
      <c r="A19" s="72" t="s">
        <v>55</v>
      </c>
      <c r="B19" s="52">
        <v>50101</v>
      </c>
      <c r="C19" s="57"/>
      <c r="D19" s="74"/>
      <c r="E19" s="60">
        <f t="shared" ref="E19:E35" si="0">F19-D19</f>
        <v>0</v>
      </c>
      <c r="F19" s="74"/>
      <c r="G19" s="61"/>
    </row>
    <row r="20" spans="1:7" hidden="1" x14ac:dyDescent="0.25">
      <c r="A20" s="54" t="s">
        <v>53</v>
      </c>
      <c r="B20" s="3"/>
      <c r="C20" s="57"/>
      <c r="D20" s="74"/>
      <c r="E20" s="60">
        <f t="shared" si="0"/>
        <v>0</v>
      </c>
      <c r="F20" s="74"/>
      <c r="G20" s="61"/>
    </row>
    <row r="21" spans="1:7" x14ac:dyDescent="0.25">
      <c r="A21" s="54" t="s">
        <v>98</v>
      </c>
      <c r="B21" s="3"/>
      <c r="C21" s="57"/>
      <c r="D21" s="74">
        <v>36800</v>
      </c>
      <c r="E21" s="60">
        <f t="shared" si="0"/>
        <v>13440</v>
      </c>
      <c r="F21" s="74">
        <v>50240</v>
      </c>
      <c r="G21" s="74">
        <v>55600</v>
      </c>
    </row>
    <row r="22" spans="1:7" x14ac:dyDescent="0.25">
      <c r="A22" s="72" t="s">
        <v>52</v>
      </c>
      <c r="B22" s="52">
        <v>50102010</v>
      </c>
      <c r="C22" s="74">
        <v>72000</v>
      </c>
      <c r="D22" s="74">
        <v>60000</v>
      </c>
      <c r="E22" s="60">
        <f t="shared" si="0"/>
        <v>12000</v>
      </c>
      <c r="F22" s="74">
        <v>72000</v>
      </c>
      <c r="G22" s="60">
        <v>72000</v>
      </c>
    </row>
    <row r="23" spans="1:7" x14ac:dyDescent="0.25">
      <c r="A23" s="72" t="s">
        <v>51</v>
      </c>
      <c r="B23" s="52">
        <v>50102020</v>
      </c>
      <c r="C23" s="74">
        <v>67500</v>
      </c>
      <c r="D23" s="74"/>
      <c r="E23" s="60">
        <f t="shared" si="0"/>
        <v>67500</v>
      </c>
      <c r="F23" s="74">
        <v>67500</v>
      </c>
      <c r="G23" s="60">
        <v>67500</v>
      </c>
    </row>
    <row r="24" spans="1:7" x14ac:dyDescent="0.25">
      <c r="A24" s="72" t="s">
        <v>48</v>
      </c>
      <c r="B24" s="52">
        <v>50102030</v>
      </c>
      <c r="C24" s="74">
        <v>67500</v>
      </c>
      <c r="D24" s="74"/>
      <c r="E24" s="60">
        <f t="shared" si="0"/>
        <v>67500</v>
      </c>
      <c r="F24" s="74">
        <v>67500</v>
      </c>
      <c r="G24" s="60">
        <v>67500</v>
      </c>
    </row>
    <row r="25" spans="1:7" x14ac:dyDescent="0.25">
      <c r="A25" s="72" t="s">
        <v>49</v>
      </c>
      <c r="B25" s="52">
        <v>50102040</v>
      </c>
      <c r="C25" s="74">
        <v>15000</v>
      </c>
      <c r="D25" s="74"/>
      <c r="E25" s="60">
        <f t="shared" si="0"/>
        <v>15000</v>
      </c>
      <c r="F25" s="74">
        <v>15000</v>
      </c>
      <c r="G25" s="60">
        <v>15000</v>
      </c>
    </row>
    <row r="26" spans="1:7" hidden="1" x14ac:dyDescent="0.25">
      <c r="A26" s="72" t="s">
        <v>50</v>
      </c>
      <c r="B26" s="52">
        <v>50102080</v>
      </c>
      <c r="C26" s="57"/>
      <c r="D26" s="74"/>
      <c r="E26" s="60">
        <f t="shared" si="0"/>
        <v>0</v>
      </c>
      <c r="F26" s="74"/>
      <c r="G26" s="61"/>
    </row>
    <row r="27" spans="1:7" x14ac:dyDescent="0.25">
      <c r="A27" s="72" t="s">
        <v>47</v>
      </c>
      <c r="B27" s="52">
        <v>50102150</v>
      </c>
      <c r="C27" s="74">
        <v>15000</v>
      </c>
      <c r="D27" s="74"/>
      <c r="E27" s="60">
        <f t="shared" si="0"/>
        <v>15000</v>
      </c>
      <c r="F27" s="74">
        <v>15000</v>
      </c>
      <c r="G27" s="60">
        <v>15000</v>
      </c>
    </row>
    <row r="28" spans="1:7" x14ac:dyDescent="0.25">
      <c r="A28" s="72" t="s">
        <v>46</v>
      </c>
      <c r="B28" s="52">
        <v>50102140</v>
      </c>
      <c r="C28" s="74">
        <f>137964-15000-53982</f>
        <v>68982</v>
      </c>
      <c r="D28" s="74"/>
      <c r="E28" s="60">
        <f t="shared" si="0"/>
        <v>68053</v>
      </c>
      <c r="F28" s="74">
        <v>68053</v>
      </c>
      <c r="G28" s="60">
        <v>77310</v>
      </c>
    </row>
    <row r="29" spans="1:7" x14ac:dyDescent="0.25">
      <c r="A29" s="72" t="s">
        <v>39</v>
      </c>
      <c r="B29" s="52">
        <v>50102990</v>
      </c>
      <c r="C29" s="74">
        <v>53982</v>
      </c>
      <c r="D29" s="74"/>
      <c r="E29" s="60">
        <f t="shared" si="0"/>
        <v>68053</v>
      </c>
      <c r="F29" s="74">
        <v>68053</v>
      </c>
      <c r="G29" s="60">
        <v>77310</v>
      </c>
    </row>
    <row r="30" spans="1:7" x14ac:dyDescent="0.25">
      <c r="A30" s="72" t="s">
        <v>40</v>
      </c>
      <c r="B30" s="52">
        <v>50103010</v>
      </c>
      <c r="C30" s="74">
        <v>89934.24</v>
      </c>
      <c r="D30" s="74">
        <v>80086.559999999998</v>
      </c>
      <c r="E30" s="60">
        <f t="shared" si="0"/>
        <v>18068.160000000003</v>
      </c>
      <c r="F30" s="74">
        <v>98154.72</v>
      </c>
      <c r="G30" s="60">
        <v>111326.39999999999</v>
      </c>
    </row>
    <row r="31" spans="1:7" x14ac:dyDescent="0.25">
      <c r="A31" s="72" t="s">
        <v>41</v>
      </c>
      <c r="B31" s="52">
        <v>50103020</v>
      </c>
      <c r="C31" s="74">
        <v>3600</v>
      </c>
      <c r="D31" s="74">
        <v>3000</v>
      </c>
      <c r="E31" s="60">
        <f t="shared" si="0"/>
        <v>600</v>
      </c>
      <c r="F31" s="74">
        <v>3600</v>
      </c>
      <c r="G31" s="60">
        <v>3600</v>
      </c>
    </row>
    <row r="32" spans="1:7" x14ac:dyDescent="0.25">
      <c r="A32" s="72" t="s">
        <v>42</v>
      </c>
      <c r="B32" s="52">
        <v>50103030</v>
      </c>
      <c r="C32" s="74">
        <v>8100</v>
      </c>
      <c r="D32" s="74">
        <v>6750</v>
      </c>
      <c r="E32" s="60">
        <f t="shared" si="0"/>
        <v>1350</v>
      </c>
      <c r="F32" s="74">
        <v>8100</v>
      </c>
      <c r="G32" s="60">
        <v>8100</v>
      </c>
    </row>
    <row r="33" spans="1:9" x14ac:dyDescent="0.25">
      <c r="A33" s="72" t="s">
        <v>43</v>
      </c>
      <c r="B33" s="52">
        <v>50103040</v>
      </c>
      <c r="C33" s="74">
        <v>3320.66</v>
      </c>
      <c r="D33" s="74">
        <v>2776.82</v>
      </c>
      <c r="E33" s="60">
        <f t="shared" si="0"/>
        <v>555.27999999999975</v>
      </c>
      <c r="F33" s="74">
        <v>3332.1</v>
      </c>
      <c r="G33" s="60">
        <v>9277.2000000000007</v>
      </c>
    </row>
    <row r="34" spans="1:9" x14ac:dyDescent="0.25">
      <c r="A34" s="72" t="s">
        <v>44</v>
      </c>
      <c r="B34" s="52">
        <v>50104990</v>
      </c>
      <c r="C34" s="74">
        <f>81542.14</f>
        <v>81542.14</v>
      </c>
      <c r="D34" s="74"/>
      <c r="E34" s="60">
        <f t="shared" si="0"/>
        <v>19027.439999999999</v>
      </c>
      <c r="F34" s="74">
        <v>19027.439999999999</v>
      </c>
      <c r="G34" s="60">
        <v>74515.55</v>
      </c>
    </row>
    <row r="35" spans="1:9" x14ac:dyDescent="0.25">
      <c r="A35" s="72" t="s">
        <v>45</v>
      </c>
      <c r="B35" s="52">
        <v>50102990</v>
      </c>
      <c r="C35" s="70">
        <v>15000</v>
      </c>
      <c r="D35" s="70"/>
      <c r="E35" s="60">
        <f t="shared" si="0"/>
        <v>15000</v>
      </c>
      <c r="F35" s="70">
        <v>15000</v>
      </c>
      <c r="G35" s="59">
        <v>15000</v>
      </c>
    </row>
    <row r="36" spans="1:9" x14ac:dyDescent="0.25">
      <c r="A36" s="27" t="s">
        <v>58</v>
      </c>
      <c r="B36" s="11"/>
      <c r="C36" s="12">
        <f>SUM(C17:C35)</f>
        <v>1310913.0399999998</v>
      </c>
      <c r="D36" s="12">
        <f>SUM(D17:D35)</f>
        <v>856801.38</v>
      </c>
      <c r="E36" s="12">
        <f>SUM(E17:E35)</f>
        <v>531714.88000000012</v>
      </c>
      <c r="F36" s="12">
        <f>SUM(F17:F35)</f>
        <v>1388516.26</v>
      </c>
      <c r="G36" s="12">
        <f>SUM(G17:G35)</f>
        <v>1596759.15</v>
      </c>
      <c r="H36" s="35"/>
      <c r="I36" s="16"/>
    </row>
    <row r="37" spans="1:9" x14ac:dyDescent="0.25">
      <c r="A37" s="8" t="s">
        <v>14</v>
      </c>
      <c r="B37" s="5"/>
      <c r="C37" s="5"/>
      <c r="D37" s="5"/>
      <c r="E37" s="5"/>
      <c r="F37" s="5"/>
      <c r="G37" s="5"/>
    </row>
    <row r="38" spans="1:9" x14ac:dyDescent="0.25">
      <c r="A38" s="54" t="s">
        <v>17</v>
      </c>
      <c r="B38" s="29">
        <v>50203010</v>
      </c>
      <c r="C38" s="70">
        <v>24288.54</v>
      </c>
      <c r="D38" s="40">
        <v>9995.8700000000008</v>
      </c>
      <c r="E38" s="59">
        <f>F38-D38</f>
        <v>24356.969999999994</v>
      </c>
      <c r="F38" s="59">
        <v>34352.839999999997</v>
      </c>
      <c r="G38" s="9">
        <v>35000</v>
      </c>
    </row>
    <row r="39" spans="1:9" x14ac:dyDescent="0.25">
      <c r="A39" s="54" t="s">
        <v>158</v>
      </c>
      <c r="B39" s="29">
        <v>50201010</v>
      </c>
      <c r="C39" s="70">
        <v>63401.56</v>
      </c>
      <c r="D39" s="40">
        <v>21545</v>
      </c>
      <c r="E39" s="59">
        <f t="shared" ref="E39:E43" si="1">F39-D39</f>
        <v>35481</v>
      </c>
      <c r="F39" s="59">
        <v>57026</v>
      </c>
      <c r="G39" s="9">
        <v>50000</v>
      </c>
    </row>
    <row r="40" spans="1:9" x14ac:dyDescent="0.25">
      <c r="A40" s="54" t="s">
        <v>27</v>
      </c>
      <c r="B40" s="31">
        <v>50202010</v>
      </c>
      <c r="C40" s="70">
        <v>5300</v>
      </c>
      <c r="D40" s="40">
        <v>21520</v>
      </c>
      <c r="E40" s="59">
        <f t="shared" si="1"/>
        <v>5460</v>
      </c>
      <c r="F40" s="59">
        <v>26980</v>
      </c>
      <c r="G40" s="9">
        <v>30000</v>
      </c>
    </row>
    <row r="41" spans="1:9" x14ac:dyDescent="0.25">
      <c r="A41" s="54" t="s">
        <v>29</v>
      </c>
      <c r="B41" s="31">
        <v>50205020</v>
      </c>
      <c r="C41" s="70"/>
      <c r="D41" s="40">
        <v>4131.87</v>
      </c>
      <c r="E41" s="59">
        <f t="shared" si="1"/>
        <v>8087.36</v>
      </c>
      <c r="F41" s="59">
        <v>12219.23</v>
      </c>
      <c r="G41" s="9">
        <v>20000</v>
      </c>
    </row>
    <row r="42" spans="1:9" x14ac:dyDescent="0.25">
      <c r="A42" s="54" t="s">
        <v>163</v>
      </c>
      <c r="B42" s="31">
        <v>5021990</v>
      </c>
      <c r="C42" s="70">
        <v>70020.17</v>
      </c>
      <c r="D42" s="40"/>
      <c r="E42" s="59">
        <f t="shared" si="1"/>
        <v>26225</v>
      </c>
      <c r="F42" s="59">
        <v>26225</v>
      </c>
      <c r="G42" s="9">
        <v>50000</v>
      </c>
    </row>
    <row r="43" spans="1:9" x14ac:dyDescent="0.25">
      <c r="A43" s="54" t="s">
        <v>31</v>
      </c>
      <c r="B43" s="31">
        <v>50213990</v>
      </c>
      <c r="C43" s="70">
        <v>750</v>
      </c>
      <c r="D43" s="40">
        <v>2500</v>
      </c>
      <c r="E43" s="59">
        <f t="shared" si="1"/>
        <v>350</v>
      </c>
      <c r="F43" s="59">
        <v>2850</v>
      </c>
      <c r="G43" s="9">
        <v>5000</v>
      </c>
    </row>
    <row r="44" spans="1:9" x14ac:dyDescent="0.25">
      <c r="A44" s="54" t="s">
        <v>160</v>
      </c>
      <c r="B44" s="31"/>
      <c r="C44" s="70"/>
      <c r="D44" s="40"/>
      <c r="E44" s="59"/>
      <c r="F44" s="59"/>
      <c r="G44" s="9"/>
    </row>
    <row r="45" spans="1:9" x14ac:dyDescent="0.25">
      <c r="A45" s="54" t="s">
        <v>164</v>
      </c>
      <c r="B45" s="38">
        <v>50203090</v>
      </c>
      <c r="C45" s="70"/>
      <c r="D45" s="40"/>
      <c r="E45" s="59"/>
      <c r="F45" s="59"/>
      <c r="G45" s="9"/>
    </row>
    <row r="46" spans="1:9" x14ac:dyDescent="0.25">
      <c r="A46" s="7" t="s">
        <v>32</v>
      </c>
      <c r="B46" s="38">
        <v>50299990</v>
      </c>
      <c r="C46" s="40"/>
      <c r="D46" s="59"/>
      <c r="E46" s="70"/>
      <c r="F46" s="9"/>
      <c r="G46" s="70"/>
    </row>
    <row r="47" spans="1:9" x14ac:dyDescent="0.25">
      <c r="A47" s="7"/>
      <c r="B47" s="31"/>
      <c r="C47" s="70"/>
      <c r="D47" s="40"/>
      <c r="E47" s="59"/>
      <c r="F47" s="70"/>
      <c r="G47" s="9"/>
    </row>
    <row r="48" spans="1:9" x14ac:dyDescent="0.25">
      <c r="A48" s="7"/>
      <c r="B48" s="41"/>
      <c r="C48" s="73"/>
      <c r="D48" s="45"/>
      <c r="E48" s="59"/>
      <c r="F48" s="73"/>
      <c r="G48" s="44"/>
    </row>
    <row r="49" spans="1:8" x14ac:dyDescent="0.25">
      <c r="A49" s="39" t="s">
        <v>24</v>
      </c>
      <c r="B49" s="11"/>
      <c r="C49" s="12">
        <f>SUM(C38:C46)</f>
        <v>163760.27000000002</v>
      </c>
      <c r="D49" s="12">
        <f>SUM(D38:D46)</f>
        <v>59692.740000000005</v>
      </c>
      <c r="E49" s="12">
        <f>SUM(E38:E46)</f>
        <v>99960.329999999987</v>
      </c>
      <c r="F49" s="12">
        <f>SUM(F38:F46)</f>
        <v>159653.07</v>
      </c>
      <c r="G49" s="12">
        <f>SUM(G38:G48)</f>
        <v>190000</v>
      </c>
    </row>
    <row r="50" spans="1:8" x14ac:dyDescent="0.25">
      <c r="A50" s="39" t="s">
        <v>13</v>
      </c>
      <c r="B50" s="11"/>
      <c r="C50" s="12"/>
      <c r="D50" s="12"/>
      <c r="E50" s="12"/>
      <c r="F50" s="12"/>
      <c r="G50" s="12"/>
    </row>
    <row r="51" spans="1:8" x14ac:dyDescent="0.25">
      <c r="A51" s="7" t="s">
        <v>131</v>
      </c>
      <c r="B51" s="11"/>
      <c r="C51" s="169">
        <v>63477.67</v>
      </c>
      <c r="D51" s="169"/>
      <c r="E51" s="169"/>
      <c r="F51" s="169"/>
      <c r="G51" s="169"/>
    </row>
    <row r="52" spans="1:8" x14ac:dyDescent="0.25">
      <c r="A52" s="39" t="s">
        <v>132</v>
      </c>
      <c r="B52" s="11"/>
      <c r="C52" s="12">
        <f>SUM(C51)</f>
        <v>63477.67</v>
      </c>
      <c r="D52" s="12">
        <f t="shared" ref="D52:F52" si="2">SUM(D51)</f>
        <v>0</v>
      </c>
      <c r="E52" s="12">
        <f t="shared" si="2"/>
        <v>0</v>
      </c>
      <c r="F52" s="12">
        <f t="shared" si="2"/>
        <v>0</v>
      </c>
      <c r="G52" s="12"/>
    </row>
    <row r="53" spans="1:8" x14ac:dyDescent="0.25">
      <c r="A53" s="69" t="s">
        <v>61</v>
      </c>
      <c r="B53" s="37"/>
      <c r="C53" s="68">
        <f>C36+C49+C52</f>
        <v>1538150.9799999997</v>
      </c>
      <c r="D53" s="68">
        <f t="shared" ref="D53:F53" si="3">D36+D49+D52</f>
        <v>916494.12</v>
      </c>
      <c r="E53" s="68">
        <f t="shared" si="3"/>
        <v>631675.21000000008</v>
      </c>
      <c r="F53" s="68">
        <f t="shared" si="3"/>
        <v>1548169.33</v>
      </c>
      <c r="G53" s="68">
        <f>G36+G49+G52</f>
        <v>1786759.15</v>
      </c>
      <c r="H53" s="170"/>
    </row>
    <row r="55" spans="1:8" ht="37.5" customHeight="1" x14ac:dyDescent="0.35">
      <c r="A55" s="154" t="s">
        <v>68</v>
      </c>
      <c r="B55" s="154" t="s">
        <v>69</v>
      </c>
      <c r="C55" s="154"/>
      <c r="D55" s="154"/>
      <c r="E55" s="154" t="s">
        <v>306</v>
      </c>
      <c r="F55" s="154"/>
      <c r="G55" s="154"/>
    </row>
    <row r="56" spans="1:8" ht="31.5" customHeight="1" x14ac:dyDescent="0.35">
      <c r="A56" s="154"/>
      <c r="B56" s="154"/>
      <c r="C56" s="154"/>
      <c r="D56" s="154"/>
      <c r="E56" s="154"/>
      <c r="F56" s="154"/>
      <c r="G56" s="154"/>
    </row>
    <row r="57" spans="1:8" ht="21" x14ac:dyDescent="0.35">
      <c r="A57" s="155" t="s">
        <v>177</v>
      </c>
      <c r="B57" s="155" t="s">
        <v>157</v>
      </c>
      <c r="C57" s="154"/>
      <c r="D57" s="154"/>
      <c r="E57" s="180" t="s">
        <v>252</v>
      </c>
      <c r="F57" s="181"/>
      <c r="G57" s="181"/>
    </row>
    <row r="58" spans="1:8" ht="21" x14ac:dyDescent="0.35">
      <c r="A58" s="154" t="s">
        <v>261</v>
      </c>
      <c r="B58" s="154" t="s">
        <v>67</v>
      </c>
      <c r="C58" s="154"/>
      <c r="D58" s="154"/>
      <c r="E58" s="181" t="s">
        <v>253</v>
      </c>
      <c r="F58" s="181"/>
      <c r="G58" s="181"/>
    </row>
    <row r="59" spans="1:8" ht="21" x14ac:dyDescent="0.35">
      <c r="A59" s="154"/>
      <c r="B59" s="154"/>
      <c r="C59" s="154"/>
      <c r="D59" s="154"/>
      <c r="E59" s="154"/>
      <c r="F59" s="154"/>
      <c r="G59" s="154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G64"/>
  <sheetViews>
    <sheetView topLeftCell="A44" workbookViewId="0">
      <selection activeCell="A58" sqref="A58"/>
    </sheetView>
  </sheetViews>
  <sheetFormatPr defaultRowHeight="15" x14ac:dyDescent="0.25"/>
  <cols>
    <col min="1" max="1" width="47.28515625" style="16" customWidth="1"/>
    <col min="2" max="2" width="9.140625" style="16" customWidth="1"/>
    <col min="3" max="3" width="13.28515625" style="16" bestFit="1" customWidth="1"/>
    <col min="4" max="4" width="11.42578125" style="16" customWidth="1"/>
    <col min="5" max="5" width="13.5703125" style="16" customWidth="1"/>
    <col min="6" max="6" width="13.28515625" style="16" bestFit="1" customWidth="1"/>
    <col min="7" max="7" width="15.140625" style="16" customWidth="1"/>
    <col min="8" max="8" width="33.28515625" style="16" customWidth="1"/>
    <col min="9" max="9" width="14.7109375" style="16" customWidth="1"/>
    <col min="10" max="16384" width="9.140625" style="16"/>
  </cols>
  <sheetData>
    <row r="1" spans="1:7" x14ac:dyDescent="0.25">
      <c r="A1" s="16" t="s">
        <v>9</v>
      </c>
      <c r="G1" s="16" t="s">
        <v>96</v>
      </c>
    </row>
    <row r="3" spans="1:7" ht="18.75" x14ac:dyDescent="0.3">
      <c r="A3" s="595" t="s">
        <v>10</v>
      </c>
      <c r="B3" s="595"/>
      <c r="C3" s="595"/>
      <c r="D3" s="595"/>
      <c r="E3" s="595"/>
      <c r="F3" s="595"/>
      <c r="G3" s="595"/>
    </row>
    <row r="4" spans="1:7" ht="18.75" x14ac:dyDescent="0.3">
      <c r="A4" s="595" t="s">
        <v>127</v>
      </c>
      <c r="B4" s="595"/>
      <c r="C4" s="595"/>
      <c r="D4" s="595"/>
      <c r="E4" s="595"/>
      <c r="F4" s="595"/>
      <c r="G4" s="595"/>
    </row>
    <row r="5" spans="1:7" ht="18.75" x14ac:dyDescent="0.3">
      <c r="A5" s="150"/>
      <c r="B5" s="151"/>
      <c r="C5" s="151"/>
      <c r="D5" s="151"/>
      <c r="E5" s="151"/>
      <c r="F5" s="151"/>
      <c r="G5" s="151"/>
    </row>
    <row r="6" spans="1:7" ht="18.75" x14ac:dyDescent="0.3">
      <c r="A6" s="151" t="s">
        <v>74</v>
      </c>
      <c r="B6" s="151"/>
      <c r="C6" s="151"/>
      <c r="D6" s="151"/>
      <c r="E6" s="151"/>
      <c r="F6" s="151"/>
      <c r="G6" s="151"/>
    </row>
    <row r="7" spans="1:7" ht="18.75" x14ac:dyDescent="0.3">
      <c r="A7" s="151" t="s">
        <v>178</v>
      </c>
      <c r="B7" s="151"/>
      <c r="C7" s="151"/>
      <c r="D7" s="151"/>
      <c r="E7" s="151"/>
      <c r="F7" s="151"/>
      <c r="G7" s="151"/>
    </row>
    <row r="8" spans="1:7" ht="18.75" x14ac:dyDescent="0.3">
      <c r="A8" s="151" t="s">
        <v>75</v>
      </c>
      <c r="B8" s="151"/>
      <c r="C8" s="151"/>
      <c r="D8" s="151"/>
      <c r="E8" s="151"/>
      <c r="F8" s="151"/>
      <c r="G8" s="151"/>
    </row>
    <row r="9" spans="1:7" ht="18.75" x14ac:dyDescent="0.3">
      <c r="A9" s="151"/>
      <c r="B9" s="151"/>
      <c r="C9" s="151"/>
      <c r="D9" s="151"/>
      <c r="E9" s="151"/>
      <c r="F9" s="151"/>
      <c r="G9" s="151"/>
    </row>
    <row r="10" spans="1:7" x14ac:dyDescent="0.25">
      <c r="A10" s="596" t="s">
        <v>0</v>
      </c>
      <c r="B10" s="598" t="s">
        <v>1</v>
      </c>
      <c r="C10" s="17" t="s">
        <v>2</v>
      </c>
      <c r="D10" s="596" t="s">
        <v>8</v>
      </c>
      <c r="E10" s="600"/>
      <c r="F10" s="601"/>
      <c r="G10" s="17" t="s">
        <v>3</v>
      </c>
    </row>
    <row r="11" spans="1:7" ht="55.5" customHeight="1" x14ac:dyDescent="0.25">
      <c r="A11" s="597"/>
      <c r="B11" s="599"/>
      <c r="C11" s="18" t="s">
        <v>4</v>
      </c>
      <c r="D11" s="165" t="s">
        <v>111</v>
      </c>
      <c r="E11" s="165" t="s">
        <v>104</v>
      </c>
      <c r="F11" s="17" t="s">
        <v>5</v>
      </c>
      <c r="G11" s="18" t="s">
        <v>6</v>
      </c>
    </row>
    <row r="12" spans="1:7" x14ac:dyDescent="0.25">
      <c r="A12" s="86"/>
      <c r="B12" s="18"/>
      <c r="C12" s="18">
        <v>2016</v>
      </c>
      <c r="D12" s="18" t="s">
        <v>4</v>
      </c>
      <c r="E12" s="18" t="s">
        <v>7</v>
      </c>
      <c r="F12" s="18"/>
      <c r="G12" s="18"/>
    </row>
    <row r="13" spans="1:7" x14ac:dyDescent="0.25">
      <c r="A13" s="86"/>
      <c r="B13" s="18"/>
      <c r="C13" s="18"/>
      <c r="D13" s="18">
        <v>2017</v>
      </c>
      <c r="E13" s="18">
        <v>2017</v>
      </c>
      <c r="F13" s="18"/>
      <c r="G13" s="18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85"/>
      <c r="B15" s="17"/>
      <c r="C15" s="17"/>
      <c r="D15" s="17"/>
      <c r="E15" s="17"/>
      <c r="F15" s="17"/>
      <c r="G15" s="17"/>
    </row>
    <row r="16" spans="1:7" x14ac:dyDescent="0.25">
      <c r="A16" s="21" t="s">
        <v>11</v>
      </c>
      <c r="B16" s="18"/>
      <c r="C16" s="18"/>
      <c r="D16" s="18"/>
      <c r="E16" s="18"/>
      <c r="F16" s="18"/>
      <c r="G16" s="18"/>
    </row>
    <row r="17" spans="1:7" hidden="1" x14ac:dyDescent="0.25">
      <c r="A17" s="54" t="s">
        <v>57</v>
      </c>
      <c r="B17" s="18"/>
      <c r="C17" s="18"/>
      <c r="D17" s="18"/>
      <c r="E17" s="18"/>
      <c r="F17" s="18"/>
      <c r="G17" s="18"/>
    </row>
    <row r="18" spans="1:7" x14ac:dyDescent="0.25">
      <c r="A18" s="54" t="s">
        <v>94</v>
      </c>
      <c r="B18" s="38">
        <v>50101010</v>
      </c>
      <c r="C18" s="208">
        <v>521072</v>
      </c>
      <c r="D18" s="240">
        <v>384862</v>
      </c>
      <c r="E18" s="241">
        <f>F18-D18</f>
        <v>111538</v>
      </c>
      <c r="F18" s="240">
        <v>496400</v>
      </c>
      <c r="G18" s="65">
        <v>793680</v>
      </c>
    </row>
    <row r="19" spans="1:7" hidden="1" x14ac:dyDescent="0.25">
      <c r="A19" s="54" t="s">
        <v>94</v>
      </c>
      <c r="B19" s="52">
        <v>50101</v>
      </c>
      <c r="C19" s="76"/>
      <c r="D19" s="240"/>
      <c r="E19" s="241">
        <f t="shared" ref="E19:E37" si="0">F19-D19</f>
        <v>0</v>
      </c>
      <c r="F19" s="240"/>
      <c r="G19" s="43"/>
    </row>
    <row r="20" spans="1:7" hidden="1" x14ac:dyDescent="0.25">
      <c r="A20" s="54" t="s">
        <v>94</v>
      </c>
      <c r="B20" s="18"/>
      <c r="C20" s="76"/>
      <c r="D20" s="240"/>
      <c r="E20" s="241">
        <f t="shared" si="0"/>
        <v>0</v>
      </c>
      <c r="F20" s="240"/>
      <c r="G20" s="43"/>
    </row>
    <row r="21" spans="1:7" hidden="1" x14ac:dyDescent="0.25">
      <c r="A21" s="54" t="s">
        <v>94</v>
      </c>
      <c r="B21" s="18"/>
      <c r="C21" s="76"/>
      <c r="D21" s="240"/>
      <c r="E21" s="241">
        <f t="shared" si="0"/>
        <v>0</v>
      </c>
      <c r="F21" s="240"/>
      <c r="G21" s="43"/>
    </row>
    <row r="22" spans="1:7" x14ac:dyDescent="0.25">
      <c r="A22" s="54" t="s">
        <v>159</v>
      </c>
      <c r="B22" s="18"/>
      <c r="C22" s="76"/>
      <c r="D22" s="240">
        <v>49785</v>
      </c>
      <c r="E22" s="241">
        <f t="shared" si="0"/>
        <v>0</v>
      </c>
      <c r="F22" s="240">
        <v>49785</v>
      </c>
      <c r="G22" s="76">
        <v>55600</v>
      </c>
    </row>
    <row r="23" spans="1:7" x14ac:dyDescent="0.25">
      <c r="A23" s="54" t="s">
        <v>129</v>
      </c>
      <c r="B23" s="18"/>
      <c r="C23" s="230"/>
      <c r="D23" s="240"/>
      <c r="E23" s="241">
        <f t="shared" si="0"/>
        <v>0</v>
      </c>
      <c r="F23" s="240"/>
      <c r="G23" s="230">
        <v>3</v>
      </c>
    </row>
    <row r="24" spans="1:7" x14ac:dyDescent="0.25">
      <c r="A24" s="72" t="s">
        <v>52</v>
      </c>
      <c r="B24" s="52">
        <v>50102010</v>
      </c>
      <c r="C24" s="208">
        <v>24000</v>
      </c>
      <c r="D24" s="240">
        <v>18000</v>
      </c>
      <c r="E24" s="241">
        <f t="shared" si="0"/>
        <v>4000</v>
      </c>
      <c r="F24" s="240">
        <v>22000</v>
      </c>
      <c r="G24" s="65">
        <v>48000</v>
      </c>
    </row>
    <row r="25" spans="1:7" x14ac:dyDescent="0.25">
      <c r="A25" s="72" t="s">
        <v>51</v>
      </c>
      <c r="B25" s="52">
        <v>50102020</v>
      </c>
      <c r="C25" s="208">
        <v>67500</v>
      </c>
      <c r="D25" s="240"/>
      <c r="E25" s="241">
        <f t="shared" si="0"/>
        <v>67500</v>
      </c>
      <c r="F25" s="240">
        <v>67500</v>
      </c>
      <c r="G25" s="65">
        <v>67500</v>
      </c>
    </row>
    <row r="26" spans="1:7" x14ac:dyDescent="0.25">
      <c r="A26" s="72" t="s">
        <v>48</v>
      </c>
      <c r="B26" s="52">
        <v>50102030</v>
      </c>
      <c r="C26" s="208">
        <v>67500</v>
      </c>
      <c r="D26" s="240"/>
      <c r="E26" s="241">
        <f t="shared" si="0"/>
        <v>67500</v>
      </c>
      <c r="F26" s="240">
        <v>67500</v>
      </c>
      <c r="G26" s="65">
        <v>67500</v>
      </c>
    </row>
    <row r="27" spans="1:7" x14ac:dyDescent="0.25">
      <c r="A27" s="72" t="s">
        <v>49</v>
      </c>
      <c r="B27" s="52">
        <v>50102040</v>
      </c>
      <c r="C27" s="208">
        <v>5000</v>
      </c>
      <c r="D27" s="240"/>
      <c r="E27" s="241">
        <f t="shared" si="0"/>
        <v>5000</v>
      </c>
      <c r="F27" s="240">
        <v>5000</v>
      </c>
      <c r="G27" s="65">
        <v>5000</v>
      </c>
    </row>
    <row r="28" spans="1:7" hidden="1" x14ac:dyDescent="0.25">
      <c r="A28" s="72" t="s">
        <v>50</v>
      </c>
      <c r="B28" s="52">
        <v>50102080</v>
      </c>
      <c r="C28" s="76"/>
      <c r="D28" s="240"/>
      <c r="E28" s="241">
        <f t="shared" si="0"/>
        <v>0</v>
      </c>
      <c r="F28" s="240"/>
      <c r="G28" s="43"/>
    </row>
    <row r="29" spans="1:7" x14ac:dyDescent="0.25">
      <c r="A29" s="72" t="s">
        <v>47</v>
      </c>
      <c r="B29" s="52">
        <v>50102150</v>
      </c>
      <c r="C29" s="208">
        <v>5000</v>
      </c>
      <c r="D29" s="240"/>
      <c r="E29" s="241">
        <f t="shared" si="0"/>
        <v>5000</v>
      </c>
      <c r="F29" s="240">
        <v>5000</v>
      </c>
      <c r="G29" s="65">
        <v>10000</v>
      </c>
    </row>
    <row r="30" spans="1:7" x14ac:dyDescent="0.25">
      <c r="A30" s="72" t="s">
        <v>46</v>
      </c>
      <c r="B30" s="52">
        <v>50102140</v>
      </c>
      <c r="C30" s="208">
        <v>43511</v>
      </c>
      <c r="D30" s="240"/>
      <c r="E30" s="241">
        <f t="shared" si="0"/>
        <v>49640</v>
      </c>
      <c r="F30" s="240">
        <v>49640</v>
      </c>
      <c r="G30" s="65">
        <v>61140</v>
      </c>
    </row>
    <row r="31" spans="1:7" x14ac:dyDescent="0.25">
      <c r="A31" s="72" t="s">
        <v>39</v>
      </c>
      <c r="B31" s="52">
        <v>50102990</v>
      </c>
      <c r="C31" s="208">
        <v>43511</v>
      </c>
      <c r="D31" s="240"/>
      <c r="E31" s="241">
        <f t="shared" si="0"/>
        <v>49640</v>
      </c>
      <c r="F31" s="240">
        <v>49640</v>
      </c>
      <c r="G31" s="65">
        <v>61140</v>
      </c>
    </row>
    <row r="32" spans="1:7" x14ac:dyDescent="0.25">
      <c r="A32" s="72" t="s">
        <v>40</v>
      </c>
      <c r="B32" s="52">
        <v>50103010</v>
      </c>
      <c r="C32" s="208">
        <v>62528.639999999999</v>
      </c>
      <c r="D32" s="240">
        <v>34269.839999999997</v>
      </c>
      <c r="E32" s="241">
        <f t="shared" si="0"/>
        <v>13384.560000000005</v>
      </c>
      <c r="F32" s="240">
        <v>47654.400000000001</v>
      </c>
      <c r="G32" s="65">
        <v>95241.600000000006</v>
      </c>
    </row>
    <row r="33" spans="1:7" x14ac:dyDescent="0.25">
      <c r="A33" s="72" t="s">
        <v>41</v>
      </c>
      <c r="B33" s="52">
        <v>50103020</v>
      </c>
      <c r="C33" s="208">
        <v>1200</v>
      </c>
      <c r="D33" s="240">
        <v>600</v>
      </c>
      <c r="E33" s="241">
        <f t="shared" si="0"/>
        <v>200</v>
      </c>
      <c r="F33" s="240">
        <v>800</v>
      </c>
      <c r="G33" s="65">
        <v>2400</v>
      </c>
    </row>
    <row r="34" spans="1:7" x14ac:dyDescent="0.25">
      <c r="A34" s="72" t="s">
        <v>42</v>
      </c>
      <c r="B34" s="52">
        <v>50103030</v>
      </c>
      <c r="C34" s="208">
        <v>5250</v>
      </c>
      <c r="D34" s="240">
        <v>4375</v>
      </c>
      <c r="E34" s="241">
        <f t="shared" si="0"/>
        <v>875</v>
      </c>
      <c r="F34" s="240">
        <v>5250</v>
      </c>
      <c r="G34" s="65">
        <v>5250</v>
      </c>
    </row>
    <row r="35" spans="1:7" x14ac:dyDescent="0.25">
      <c r="A35" s="72" t="s">
        <v>43</v>
      </c>
      <c r="B35" s="52">
        <v>50103040</v>
      </c>
      <c r="C35" s="208">
        <v>1200</v>
      </c>
      <c r="D35" s="240">
        <v>600</v>
      </c>
      <c r="E35" s="241">
        <f t="shared" si="0"/>
        <v>200</v>
      </c>
      <c r="F35" s="240">
        <v>800</v>
      </c>
      <c r="G35" s="65">
        <v>7936.8</v>
      </c>
    </row>
    <row r="36" spans="1:7" x14ac:dyDescent="0.25">
      <c r="A36" s="72" t="s">
        <v>44</v>
      </c>
      <c r="B36" s="52">
        <v>50104990</v>
      </c>
      <c r="C36" s="208">
        <v>20969.13</v>
      </c>
      <c r="D36" s="240"/>
      <c r="E36" s="241">
        <f t="shared" si="0"/>
        <v>0</v>
      </c>
      <c r="F36" s="240"/>
      <c r="G36" s="65">
        <v>54586.91</v>
      </c>
    </row>
    <row r="37" spans="1:7" x14ac:dyDescent="0.25">
      <c r="A37" s="72" t="s">
        <v>45</v>
      </c>
      <c r="B37" s="52">
        <v>50102990</v>
      </c>
      <c r="C37" s="14">
        <v>5000</v>
      </c>
      <c r="D37" s="14"/>
      <c r="E37" s="241">
        <f t="shared" si="0"/>
        <v>5000</v>
      </c>
      <c r="F37" s="14">
        <v>5000</v>
      </c>
      <c r="G37" s="64">
        <v>10000</v>
      </c>
    </row>
    <row r="38" spans="1:7" x14ac:dyDescent="0.25">
      <c r="A38" s="27" t="s">
        <v>58</v>
      </c>
      <c r="B38" s="27"/>
      <c r="C38" s="27">
        <f>SUM(C17:C37)</f>
        <v>873241.77</v>
      </c>
      <c r="D38" s="27">
        <f t="shared" ref="D38:F38" si="1">SUM(D17:D37)</f>
        <v>492491.83999999997</v>
      </c>
      <c r="E38" s="27">
        <f t="shared" si="1"/>
        <v>379477.56</v>
      </c>
      <c r="F38" s="27">
        <f t="shared" si="1"/>
        <v>871969.4</v>
      </c>
      <c r="G38" s="27">
        <f>SUM(G18:G37)</f>
        <v>1344978.31</v>
      </c>
    </row>
    <row r="39" spans="1:7" x14ac:dyDescent="0.25">
      <c r="A39" s="24" t="s">
        <v>14</v>
      </c>
      <c r="B39" s="23"/>
      <c r="C39" s="23"/>
      <c r="D39" s="23"/>
      <c r="E39" s="23"/>
      <c r="F39" s="23"/>
      <c r="G39" s="23"/>
    </row>
    <row r="40" spans="1:7" x14ac:dyDescent="0.25">
      <c r="A40" s="54" t="s">
        <v>17</v>
      </c>
      <c r="B40" s="29">
        <v>50203010</v>
      </c>
      <c r="C40" s="14">
        <v>34499.71</v>
      </c>
      <c r="D40" s="9">
        <v>295</v>
      </c>
      <c r="E40" s="64">
        <f>F40-D40</f>
        <v>10387.56</v>
      </c>
      <c r="F40" s="64">
        <v>10682.56</v>
      </c>
      <c r="G40" s="9">
        <v>30000</v>
      </c>
    </row>
    <row r="41" spans="1:7" x14ac:dyDescent="0.25">
      <c r="A41" s="54" t="s">
        <v>158</v>
      </c>
      <c r="B41" s="29">
        <v>50201010</v>
      </c>
      <c r="C41" s="14">
        <v>26135</v>
      </c>
      <c r="D41" s="9">
        <v>21863</v>
      </c>
      <c r="E41" s="64">
        <f t="shared" ref="E41:E49" si="2">F41-D41</f>
        <v>7300</v>
      </c>
      <c r="F41" s="64">
        <v>29163</v>
      </c>
      <c r="G41" s="9">
        <v>30000</v>
      </c>
    </row>
    <row r="42" spans="1:7" x14ac:dyDescent="0.25">
      <c r="A42" s="54" t="s">
        <v>27</v>
      </c>
      <c r="B42" s="31">
        <v>50202010</v>
      </c>
      <c r="C42" s="14">
        <v>16230</v>
      </c>
      <c r="D42" s="9">
        <v>31380</v>
      </c>
      <c r="E42" s="64">
        <f t="shared" si="2"/>
        <v>3548</v>
      </c>
      <c r="F42" s="64">
        <v>34928</v>
      </c>
      <c r="G42" s="9">
        <v>35000</v>
      </c>
    </row>
    <row r="43" spans="1:7" x14ac:dyDescent="0.25">
      <c r="A43" s="54" t="s">
        <v>29</v>
      </c>
      <c r="B43" s="31">
        <v>50205020</v>
      </c>
      <c r="C43" s="14">
        <v>20560.05</v>
      </c>
      <c r="D43" s="9">
        <v>4629.9399999999996</v>
      </c>
      <c r="E43" s="64">
        <f t="shared" si="2"/>
        <v>8073.53</v>
      </c>
      <c r="F43" s="64">
        <v>12703.47</v>
      </c>
      <c r="G43" s="9">
        <f>26200-109.84</f>
        <v>26090.16</v>
      </c>
    </row>
    <row r="44" spans="1:7" x14ac:dyDescent="0.25">
      <c r="A44" s="54" t="s">
        <v>163</v>
      </c>
      <c r="B44" s="31">
        <v>5021990</v>
      </c>
      <c r="C44" s="14">
        <v>99119</v>
      </c>
      <c r="D44" s="9"/>
      <c r="E44" s="64">
        <f t="shared" si="2"/>
        <v>38040</v>
      </c>
      <c r="F44" s="64">
        <v>38040</v>
      </c>
      <c r="G44" s="9">
        <v>50000</v>
      </c>
    </row>
    <row r="45" spans="1:7" x14ac:dyDescent="0.25">
      <c r="A45" s="54" t="s">
        <v>31</v>
      </c>
      <c r="B45" s="31">
        <v>50213990</v>
      </c>
      <c r="C45" s="14">
        <v>48461</v>
      </c>
      <c r="D45" s="9">
        <v>240</v>
      </c>
      <c r="E45" s="64">
        <f t="shared" si="2"/>
        <v>3580</v>
      </c>
      <c r="F45" s="64">
        <v>3820</v>
      </c>
      <c r="G45" s="9">
        <v>15000</v>
      </c>
    </row>
    <row r="46" spans="1:7" x14ac:dyDescent="0.25">
      <c r="A46" s="54" t="s">
        <v>160</v>
      </c>
      <c r="B46" s="31"/>
      <c r="C46" s="14"/>
      <c r="D46" s="9"/>
      <c r="E46" s="64">
        <f t="shared" si="2"/>
        <v>0</v>
      </c>
      <c r="F46" s="64"/>
      <c r="G46" s="9"/>
    </row>
    <row r="47" spans="1:7" x14ac:dyDescent="0.25">
      <c r="A47" s="54" t="s">
        <v>164</v>
      </c>
      <c r="B47" s="38">
        <v>50203090</v>
      </c>
      <c r="C47" s="14"/>
      <c r="D47" s="9"/>
      <c r="E47" s="64">
        <f t="shared" si="2"/>
        <v>0</v>
      </c>
      <c r="F47" s="64"/>
      <c r="G47" s="10"/>
    </row>
    <row r="48" spans="1:7" x14ac:dyDescent="0.25">
      <c r="A48" s="22" t="s">
        <v>179</v>
      </c>
      <c r="B48" s="38">
        <v>50211990</v>
      </c>
      <c r="C48" s="14">
        <v>60000</v>
      </c>
      <c r="D48" s="9">
        <v>7500</v>
      </c>
      <c r="E48" s="64">
        <f t="shared" si="2"/>
        <v>51250</v>
      </c>
      <c r="F48" s="64">
        <v>58750</v>
      </c>
      <c r="G48" s="47">
        <v>60000</v>
      </c>
    </row>
    <row r="49" spans="1:7" x14ac:dyDescent="0.25">
      <c r="A49" s="22" t="s">
        <v>180</v>
      </c>
      <c r="B49" s="38">
        <v>50211990</v>
      </c>
      <c r="C49" s="14">
        <v>224500</v>
      </c>
      <c r="D49" s="9">
        <v>119000</v>
      </c>
      <c r="E49" s="64">
        <f t="shared" si="2"/>
        <v>170640</v>
      </c>
      <c r="F49" s="64">
        <v>289640</v>
      </c>
      <c r="G49" s="47">
        <v>300000</v>
      </c>
    </row>
    <row r="50" spans="1:7" x14ac:dyDescent="0.25">
      <c r="A50" s="22"/>
      <c r="B50" s="38"/>
      <c r="C50" s="14"/>
      <c r="D50" s="9"/>
      <c r="E50" s="64"/>
      <c r="F50" s="14"/>
      <c r="G50" s="47"/>
    </row>
    <row r="51" spans="1:7" x14ac:dyDescent="0.25">
      <c r="A51" s="48" t="s">
        <v>24</v>
      </c>
      <c r="B51" s="26"/>
      <c r="C51" s="27">
        <f>SUM(C40:C49)</f>
        <v>529504.76</v>
      </c>
      <c r="D51" s="27">
        <f>SUM(D40:D49)</f>
        <v>184907.94</v>
      </c>
      <c r="E51" s="27">
        <f>SUM(E40:E49)</f>
        <v>292819.08999999997</v>
      </c>
      <c r="F51" s="27">
        <f>SUM(F40:F49)</f>
        <v>477727.03</v>
      </c>
      <c r="G51" s="27">
        <f>SUM(G40:G50)</f>
        <v>546090.16</v>
      </c>
    </row>
    <row r="52" spans="1:7" x14ac:dyDescent="0.25">
      <c r="A52" s="8" t="s">
        <v>95</v>
      </c>
      <c r="B52" s="5"/>
      <c r="C52" s="27"/>
      <c r="D52" s="27"/>
      <c r="E52" s="27"/>
      <c r="F52" s="27"/>
      <c r="G52" s="27"/>
    </row>
    <row r="53" spans="1:7" x14ac:dyDescent="0.25">
      <c r="A53" s="54" t="s">
        <v>131</v>
      </c>
      <c r="B53" s="5">
        <v>10705990</v>
      </c>
      <c r="C53" s="66"/>
      <c r="D53" s="27"/>
      <c r="E53" s="66">
        <v>11950</v>
      </c>
      <c r="F53" s="66">
        <v>11950</v>
      </c>
      <c r="G53" s="66"/>
    </row>
    <row r="54" spans="1:7" x14ac:dyDescent="0.25">
      <c r="A54" s="11" t="s">
        <v>60</v>
      </c>
      <c r="B54" s="11"/>
      <c r="C54" s="27">
        <f>C53</f>
        <v>0</v>
      </c>
      <c r="D54" s="27">
        <f t="shared" ref="D54:F54" si="3">D53</f>
        <v>0</v>
      </c>
      <c r="E54" s="27">
        <f t="shared" si="3"/>
        <v>11950</v>
      </c>
      <c r="F54" s="27">
        <f t="shared" si="3"/>
        <v>11950</v>
      </c>
      <c r="G54" s="27"/>
    </row>
    <row r="55" spans="1:7" x14ac:dyDescent="0.25">
      <c r="A55" s="69" t="s">
        <v>61</v>
      </c>
      <c r="B55" s="26"/>
      <c r="C55" s="28">
        <f>C38+C51+C53</f>
        <v>1402746.53</v>
      </c>
      <c r="D55" s="28">
        <f t="shared" ref="D55:G55" si="4">D38+D51+D53</f>
        <v>677399.78</v>
      </c>
      <c r="E55" s="28">
        <f>E51+E53</f>
        <v>304769.08999999997</v>
      </c>
      <c r="F55" s="28">
        <f t="shared" si="4"/>
        <v>1361646.4300000002</v>
      </c>
      <c r="G55" s="28">
        <f t="shared" si="4"/>
        <v>1891068.4700000002</v>
      </c>
    </row>
    <row r="57" spans="1:7" ht="34.5" customHeight="1" x14ac:dyDescent="0.35">
      <c r="A57" s="152" t="s">
        <v>68</v>
      </c>
      <c r="B57" s="154" t="s">
        <v>69</v>
      </c>
      <c r="C57" s="154"/>
      <c r="D57" s="154"/>
      <c r="E57" s="154" t="s">
        <v>307</v>
      </c>
      <c r="F57" s="154"/>
      <c r="G57" s="152"/>
    </row>
    <row r="58" spans="1:7" ht="41.25" customHeight="1" x14ac:dyDescent="0.35">
      <c r="A58" s="152"/>
      <c r="B58" s="154"/>
      <c r="C58" s="154"/>
      <c r="D58" s="154"/>
      <c r="E58" s="154"/>
      <c r="F58" s="154"/>
      <c r="G58" s="152"/>
    </row>
    <row r="59" spans="1:7" ht="21" x14ac:dyDescent="0.35">
      <c r="A59" s="155" t="s">
        <v>157</v>
      </c>
      <c r="B59" s="155" t="s">
        <v>157</v>
      </c>
      <c r="C59" s="154"/>
      <c r="D59" s="154"/>
      <c r="E59" s="180" t="s">
        <v>254</v>
      </c>
      <c r="F59" s="181"/>
      <c r="G59" s="182"/>
    </row>
    <row r="60" spans="1:7" ht="21" x14ac:dyDescent="0.35">
      <c r="A60" s="152" t="s">
        <v>262</v>
      </c>
      <c r="B60" s="154" t="s">
        <v>257</v>
      </c>
      <c r="C60" s="154"/>
      <c r="D60" s="154"/>
      <c r="E60" s="181" t="s">
        <v>253</v>
      </c>
      <c r="F60" s="181"/>
      <c r="G60" s="182"/>
    </row>
    <row r="61" spans="1:7" ht="21" x14ac:dyDescent="0.35">
      <c r="A61" s="152"/>
      <c r="B61" s="152"/>
      <c r="C61" s="152"/>
      <c r="D61" s="152"/>
      <c r="E61" s="152"/>
      <c r="F61" s="152"/>
      <c r="G61" s="152"/>
    </row>
    <row r="62" spans="1:7" ht="21" x14ac:dyDescent="0.35">
      <c r="A62" s="152"/>
      <c r="B62" s="152"/>
      <c r="C62" s="152"/>
      <c r="D62" s="152"/>
      <c r="E62" s="152"/>
      <c r="F62" s="152"/>
      <c r="G62" s="152"/>
    </row>
    <row r="63" spans="1:7" ht="21" x14ac:dyDescent="0.35">
      <c r="A63" s="152"/>
      <c r="B63" s="152"/>
      <c r="C63" s="152"/>
      <c r="D63" s="152"/>
      <c r="E63" s="152"/>
      <c r="F63" s="152"/>
      <c r="G63" s="152"/>
    </row>
    <row r="64" spans="1:7" ht="21" x14ac:dyDescent="0.35">
      <c r="A64" s="152"/>
      <c r="B64" s="152"/>
      <c r="C64" s="152"/>
      <c r="D64" s="152"/>
      <c r="E64" s="152"/>
      <c r="F64" s="152"/>
      <c r="G64" s="152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G66"/>
  <sheetViews>
    <sheetView topLeftCell="A40" workbookViewId="0">
      <selection activeCell="A62" sqref="A62"/>
    </sheetView>
  </sheetViews>
  <sheetFormatPr defaultRowHeight="15" x14ac:dyDescent="0.25"/>
  <cols>
    <col min="1" max="1" width="50.7109375" style="4" customWidth="1"/>
    <col min="2" max="2" width="10.140625" style="4" customWidth="1"/>
    <col min="3" max="3" width="13.28515625" style="4" bestFit="1" customWidth="1"/>
    <col min="4" max="4" width="13" style="4" customWidth="1"/>
    <col min="5" max="5" width="13.7109375" style="4" customWidth="1"/>
    <col min="6" max="7" width="13.28515625" style="4" bestFit="1" customWidth="1"/>
    <col min="8" max="8" width="34.85546875" style="4" customWidth="1"/>
    <col min="9" max="16384" width="9.140625" style="4"/>
  </cols>
  <sheetData>
    <row r="1" spans="1:7" x14ac:dyDescent="0.25">
      <c r="A1" s="4" t="s">
        <v>9</v>
      </c>
      <c r="G1" t="s">
        <v>96</v>
      </c>
    </row>
    <row r="3" spans="1:7" ht="18.75" x14ac:dyDescent="0.3">
      <c r="A3" s="594" t="s">
        <v>10</v>
      </c>
      <c r="B3" s="594"/>
      <c r="C3" s="594"/>
      <c r="D3" s="594"/>
      <c r="E3" s="594"/>
      <c r="F3" s="594"/>
      <c r="G3" s="594"/>
    </row>
    <row r="4" spans="1:7" ht="18.75" x14ac:dyDescent="0.3">
      <c r="A4" s="594" t="s">
        <v>127</v>
      </c>
      <c r="B4" s="594"/>
      <c r="C4" s="594"/>
      <c r="D4" s="594"/>
      <c r="E4" s="594"/>
      <c r="F4" s="594"/>
      <c r="G4" s="594"/>
    </row>
    <row r="5" spans="1:7" ht="18.75" x14ac:dyDescent="0.3">
      <c r="A5" s="148"/>
      <c r="B5" s="147"/>
      <c r="C5" s="147"/>
      <c r="D5" s="147"/>
      <c r="E5" s="147"/>
      <c r="F5" s="147"/>
      <c r="G5" s="147"/>
    </row>
    <row r="6" spans="1:7" ht="18.75" x14ac:dyDescent="0.3">
      <c r="A6" s="147" t="s">
        <v>125</v>
      </c>
      <c r="B6" s="147"/>
      <c r="C6" s="147"/>
      <c r="D6" s="147"/>
      <c r="E6" s="147"/>
      <c r="F6" s="147"/>
      <c r="G6" s="147"/>
    </row>
    <row r="7" spans="1:7" ht="18.75" x14ac:dyDescent="0.3">
      <c r="A7" s="147" t="s">
        <v>182</v>
      </c>
      <c r="B7" s="147"/>
      <c r="C7" s="147"/>
      <c r="D7" s="147"/>
      <c r="E7" s="147"/>
      <c r="F7" s="147"/>
      <c r="G7" s="147"/>
    </row>
    <row r="8" spans="1:7" ht="18.75" x14ac:dyDescent="0.3">
      <c r="A8" s="147" t="s">
        <v>73</v>
      </c>
      <c r="B8" s="147"/>
      <c r="C8" s="147"/>
      <c r="D8" s="147"/>
      <c r="E8" s="147"/>
      <c r="F8" s="147"/>
      <c r="G8" s="147"/>
    </row>
    <row r="9" spans="1:7" ht="18.75" x14ac:dyDescent="0.3">
      <c r="A9" s="147"/>
      <c r="B9" s="147"/>
      <c r="C9" s="147"/>
      <c r="D9" s="147"/>
      <c r="E9" s="147"/>
      <c r="F9" s="147"/>
      <c r="G9" s="147"/>
    </row>
    <row r="10" spans="1:7" x14ac:dyDescent="0.25">
      <c r="A10" s="579" t="s">
        <v>0</v>
      </c>
      <c r="B10" s="577" t="s">
        <v>1</v>
      </c>
      <c r="C10" s="2" t="s">
        <v>2</v>
      </c>
      <c r="D10" s="579" t="s">
        <v>8</v>
      </c>
      <c r="E10" s="580"/>
      <c r="F10" s="581"/>
      <c r="G10" s="2" t="s">
        <v>3</v>
      </c>
    </row>
    <row r="11" spans="1:7" ht="58.5" customHeight="1" x14ac:dyDescent="0.25">
      <c r="A11" s="593"/>
      <c r="B11" s="578"/>
      <c r="C11" s="3" t="s">
        <v>4</v>
      </c>
      <c r="D11" s="163" t="s">
        <v>102</v>
      </c>
      <c r="E11" s="163" t="s">
        <v>103</v>
      </c>
      <c r="F11" s="2" t="s">
        <v>5</v>
      </c>
      <c r="G11" s="3" t="s">
        <v>6</v>
      </c>
    </row>
    <row r="12" spans="1:7" ht="16.5" customHeight="1" x14ac:dyDescent="0.25">
      <c r="A12" s="84"/>
      <c r="B12" s="3"/>
      <c r="C12" s="3">
        <v>2016</v>
      </c>
      <c r="D12" s="3" t="s">
        <v>4</v>
      </c>
      <c r="E12" s="3" t="s">
        <v>7</v>
      </c>
      <c r="F12" s="3"/>
      <c r="G12" s="3"/>
    </row>
    <row r="13" spans="1:7" x14ac:dyDescent="0.25">
      <c r="A13" s="84"/>
      <c r="B13" s="3"/>
      <c r="C13" s="3"/>
      <c r="D13" s="3">
        <v>2017</v>
      </c>
      <c r="E13" s="3">
        <v>2017</v>
      </c>
      <c r="F13" s="3"/>
      <c r="G13" s="3">
        <v>2018</v>
      </c>
    </row>
    <row r="14" spans="1:7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83"/>
      <c r="B15" s="2"/>
      <c r="C15" s="2"/>
      <c r="D15" s="2"/>
      <c r="E15" s="2"/>
      <c r="F15" s="2"/>
      <c r="G15" s="2"/>
    </row>
    <row r="16" spans="1:7" x14ac:dyDescent="0.25">
      <c r="A16" s="6" t="s">
        <v>11</v>
      </c>
      <c r="B16" s="3"/>
      <c r="C16" s="3"/>
      <c r="D16" s="3"/>
      <c r="E16" s="3"/>
      <c r="F16" s="3"/>
      <c r="G16" s="3"/>
    </row>
    <row r="17" spans="1:7" hidden="1" x14ac:dyDescent="0.25">
      <c r="A17" s="54" t="s">
        <v>57</v>
      </c>
      <c r="B17" s="3"/>
      <c r="C17" s="3"/>
      <c r="D17" s="3"/>
      <c r="E17" s="3"/>
      <c r="F17" s="3"/>
      <c r="G17" s="3"/>
    </row>
    <row r="18" spans="1:7" x14ac:dyDescent="0.25">
      <c r="A18" s="54" t="s">
        <v>56</v>
      </c>
      <c r="B18" s="38">
        <v>50101010</v>
      </c>
      <c r="C18" s="74">
        <v>1167245.67</v>
      </c>
      <c r="D18" s="57">
        <v>854855.45</v>
      </c>
      <c r="E18" s="60">
        <f>F18-D18</f>
        <v>241720</v>
      </c>
      <c r="F18" s="74">
        <v>1096575.45</v>
      </c>
      <c r="G18" s="60">
        <v>1491336</v>
      </c>
    </row>
    <row r="19" spans="1:7" hidden="1" x14ac:dyDescent="0.25">
      <c r="A19" s="54" t="s">
        <v>56</v>
      </c>
      <c r="B19" s="52">
        <v>50101</v>
      </c>
      <c r="C19" s="74"/>
      <c r="D19" s="57"/>
      <c r="E19" s="60">
        <f t="shared" ref="E19:E36" si="0">F19-D19</f>
        <v>0</v>
      </c>
      <c r="F19" s="74"/>
      <c r="G19" s="61"/>
    </row>
    <row r="20" spans="1:7" hidden="1" x14ac:dyDescent="0.25">
      <c r="A20" s="54" t="s">
        <v>56</v>
      </c>
      <c r="B20" s="3"/>
      <c r="C20" s="74"/>
      <c r="D20" s="57"/>
      <c r="E20" s="60">
        <f t="shared" si="0"/>
        <v>0</v>
      </c>
      <c r="F20" s="74"/>
      <c r="G20" s="61"/>
    </row>
    <row r="21" spans="1:7" hidden="1" x14ac:dyDescent="0.25">
      <c r="A21" s="54" t="s">
        <v>56</v>
      </c>
      <c r="B21" s="3"/>
      <c r="C21" s="74"/>
      <c r="D21" s="57"/>
      <c r="E21" s="60">
        <f t="shared" si="0"/>
        <v>0</v>
      </c>
      <c r="F21" s="74"/>
      <c r="G21" s="61"/>
    </row>
    <row r="22" spans="1:7" x14ac:dyDescent="0.25">
      <c r="A22" s="54" t="s">
        <v>98</v>
      </c>
      <c r="B22" s="3"/>
      <c r="C22" s="74"/>
      <c r="D22" s="57">
        <v>32940</v>
      </c>
      <c r="E22" s="60">
        <f t="shared" si="0"/>
        <v>15820</v>
      </c>
      <c r="F22" s="74">
        <v>48760</v>
      </c>
      <c r="G22" s="74">
        <v>60000</v>
      </c>
    </row>
    <row r="23" spans="1:7" x14ac:dyDescent="0.25">
      <c r="A23" s="72" t="s">
        <v>52</v>
      </c>
      <c r="B23" s="52">
        <v>50102010</v>
      </c>
      <c r="C23" s="74">
        <v>142166.67000000001</v>
      </c>
      <c r="D23" s="57">
        <v>120336.63</v>
      </c>
      <c r="E23" s="60">
        <f t="shared" si="0"/>
        <v>28000</v>
      </c>
      <c r="F23" s="74">
        <v>148336.63</v>
      </c>
      <c r="G23" s="60">
        <v>168000</v>
      </c>
    </row>
    <row r="24" spans="1:7" x14ac:dyDescent="0.25">
      <c r="A24" s="72" t="s">
        <v>51</v>
      </c>
      <c r="B24" s="52">
        <v>50102020</v>
      </c>
      <c r="C24" s="74">
        <f>125652.17/2</f>
        <v>62826.084999999999</v>
      </c>
      <c r="D24" s="57"/>
      <c r="E24" s="60">
        <f t="shared" si="0"/>
        <v>67500</v>
      </c>
      <c r="F24" s="74">
        <v>67500</v>
      </c>
      <c r="G24" s="60">
        <v>67500</v>
      </c>
    </row>
    <row r="25" spans="1:7" x14ac:dyDescent="0.25">
      <c r="A25" s="72" t="s">
        <v>48</v>
      </c>
      <c r="B25" s="52">
        <v>50102030</v>
      </c>
      <c r="C25" s="74">
        <v>62826.080000000002</v>
      </c>
      <c r="D25" s="57"/>
      <c r="E25" s="60">
        <f t="shared" si="0"/>
        <v>67500</v>
      </c>
      <c r="F25" s="74">
        <v>67500</v>
      </c>
      <c r="G25" s="60">
        <v>67500</v>
      </c>
    </row>
    <row r="26" spans="1:7" x14ac:dyDescent="0.25">
      <c r="A26" s="72" t="s">
        <v>49</v>
      </c>
      <c r="B26" s="52">
        <v>50102040</v>
      </c>
      <c r="C26" s="74">
        <v>30000</v>
      </c>
      <c r="D26" s="57"/>
      <c r="E26" s="60">
        <f t="shared" si="0"/>
        <v>35000</v>
      </c>
      <c r="F26" s="74">
        <v>35000</v>
      </c>
      <c r="G26" s="60">
        <v>35000</v>
      </c>
    </row>
    <row r="27" spans="1:7" hidden="1" x14ac:dyDescent="0.25">
      <c r="A27" s="72" t="s">
        <v>50</v>
      </c>
      <c r="B27" s="52">
        <v>50102080</v>
      </c>
      <c r="C27" s="74"/>
      <c r="D27" s="57"/>
      <c r="E27" s="60">
        <f t="shared" si="0"/>
        <v>0</v>
      </c>
      <c r="F27" s="74"/>
      <c r="G27" s="61"/>
    </row>
    <row r="28" spans="1:7" x14ac:dyDescent="0.25">
      <c r="A28" s="72" t="s">
        <v>47</v>
      </c>
      <c r="B28" s="52">
        <v>50102150</v>
      </c>
      <c r="C28" s="74">
        <v>30000</v>
      </c>
      <c r="D28" s="57"/>
      <c r="E28" s="60">
        <f t="shared" si="0"/>
        <v>35000</v>
      </c>
      <c r="F28" s="74">
        <v>35000</v>
      </c>
      <c r="G28" s="60">
        <v>35000</v>
      </c>
    </row>
    <row r="29" spans="1:7" x14ac:dyDescent="0.25">
      <c r="A29" s="72" t="s">
        <v>46</v>
      </c>
      <c r="B29" s="52">
        <v>50102140</v>
      </c>
      <c r="C29" s="74">
        <v>108714</v>
      </c>
      <c r="D29" s="57"/>
      <c r="E29" s="60">
        <f t="shared" si="0"/>
        <v>112481</v>
      </c>
      <c r="F29" s="74">
        <v>112481</v>
      </c>
      <c r="G29" s="60">
        <v>124278</v>
      </c>
    </row>
    <row r="30" spans="1:7" x14ac:dyDescent="0.25">
      <c r="A30" s="72" t="s">
        <v>39</v>
      </c>
      <c r="B30" s="52">
        <v>50102990</v>
      </c>
      <c r="C30" s="74">
        <v>88198</v>
      </c>
      <c r="D30" s="57"/>
      <c r="E30" s="60">
        <f t="shared" si="0"/>
        <v>103365</v>
      </c>
      <c r="F30" s="74">
        <v>103365</v>
      </c>
      <c r="G30" s="60">
        <v>124278</v>
      </c>
    </row>
    <row r="31" spans="1:7" x14ac:dyDescent="0.25">
      <c r="A31" s="72" t="s">
        <v>40</v>
      </c>
      <c r="B31" s="52">
        <v>50103010</v>
      </c>
      <c r="C31" s="74">
        <v>140342.16</v>
      </c>
      <c r="D31" s="57">
        <v>76482.240000000005</v>
      </c>
      <c r="E31" s="60">
        <f t="shared" si="0"/>
        <v>29006.399999999994</v>
      </c>
      <c r="F31" s="74">
        <v>105488.64</v>
      </c>
      <c r="G31" s="60">
        <v>178960.32</v>
      </c>
    </row>
    <row r="32" spans="1:7" x14ac:dyDescent="0.25">
      <c r="A32" s="72" t="s">
        <v>41</v>
      </c>
      <c r="B32" s="52">
        <v>50103020</v>
      </c>
      <c r="C32" s="74">
        <v>7700</v>
      </c>
      <c r="D32" s="57">
        <v>4000</v>
      </c>
      <c r="E32" s="60">
        <f t="shared" si="0"/>
        <v>1400</v>
      </c>
      <c r="F32" s="74">
        <v>5400</v>
      </c>
      <c r="G32" s="60">
        <v>8400</v>
      </c>
    </row>
    <row r="33" spans="1:7" x14ac:dyDescent="0.25">
      <c r="A33" s="72" t="s">
        <v>42</v>
      </c>
      <c r="B33" s="52">
        <v>50103030</v>
      </c>
      <c r="C33" s="74">
        <v>12774.5</v>
      </c>
      <c r="D33" s="57">
        <v>11200</v>
      </c>
      <c r="E33" s="60">
        <f t="shared" si="0"/>
        <v>2350</v>
      </c>
      <c r="F33" s="74">
        <v>13550</v>
      </c>
      <c r="G33" s="60">
        <v>13050</v>
      </c>
    </row>
    <row r="34" spans="1:7" x14ac:dyDescent="0.25">
      <c r="A34" s="72" t="s">
        <v>43</v>
      </c>
      <c r="B34" s="52">
        <v>50103040</v>
      </c>
      <c r="C34" s="74">
        <v>7117.55</v>
      </c>
      <c r="D34" s="57">
        <v>3739.72</v>
      </c>
      <c r="E34" s="60">
        <f t="shared" si="0"/>
        <v>1315.7199999999998</v>
      </c>
      <c r="F34" s="74">
        <v>5055.4399999999996</v>
      </c>
      <c r="G34" s="60">
        <v>14913.36</v>
      </c>
    </row>
    <row r="35" spans="1:7" x14ac:dyDescent="0.25">
      <c r="A35" s="72" t="s">
        <v>44</v>
      </c>
      <c r="B35" s="52">
        <v>50104990</v>
      </c>
      <c r="C35" s="74">
        <v>114727.35</v>
      </c>
      <c r="D35" s="57"/>
      <c r="E35" s="60">
        <f t="shared" si="0"/>
        <v>80829.69</v>
      </c>
      <c r="F35" s="74">
        <v>80829.69</v>
      </c>
      <c r="G35" s="60">
        <v>119785.85</v>
      </c>
    </row>
    <row r="36" spans="1:7" x14ac:dyDescent="0.25">
      <c r="A36" s="72" t="s">
        <v>45</v>
      </c>
      <c r="B36" s="52">
        <v>50102990</v>
      </c>
      <c r="C36" s="70">
        <v>30000</v>
      </c>
      <c r="D36" s="75"/>
      <c r="E36" s="60">
        <f t="shared" si="0"/>
        <v>35000</v>
      </c>
      <c r="F36" s="70">
        <v>35000</v>
      </c>
      <c r="G36" s="59">
        <v>35000</v>
      </c>
    </row>
    <row r="37" spans="1:7" x14ac:dyDescent="0.25">
      <c r="A37" s="27" t="s">
        <v>58</v>
      </c>
      <c r="B37" s="11"/>
      <c r="C37" s="12">
        <f>SUM(C17:C36)</f>
        <v>2004638.0649999999</v>
      </c>
      <c r="D37" s="12">
        <f>SUM(D17:D36)</f>
        <v>1103554.04</v>
      </c>
      <c r="E37" s="12">
        <f>SUM(E17:E36)</f>
        <v>856287.81</v>
      </c>
      <c r="F37" s="12">
        <f>SUM(F17:F36)</f>
        <v>1959841.8499999999</v>
      </c>
      <c r="G37" s="12">
        <f>SUM(G18:G36)</f>
        <v>2543001.5299999998</v>
      </c>
    </row>
    <row r="38" spans="1:7" x14ac:dyDescent="0.25">
      <c r="A38" s="8" t="s">
        <v>14</v>
      </c>
      <c r="B38" s="5"/>
      <c r="C38" s="5"/>
      <c r="D38" s="5"/>
      <c r="E38" s="5"/>
      <c r="F38" s="5"/>
      <c r="G38" s="5"/>
    </row>
    <row r="39" spans="1:7" x14ac:dyDescent="0.25">
      <c r="A39" s="54" t="s">
        <v>17</v>
      </c>
      <c r="B39" s="29">
        <v>50203010</v>
      </c>
      <c r="C39" s="70">
        <v>51912</v>
      </c>
      <c r="D39" s="40">
        <v>20102.849999999999</v>
      </c>
      <c r="E39" s="59">
        <f>F39-D39</f>
        <v>26960.700000000004</v>
      </c>
      <c r="F39" s="59">
        <v>47063.55</v>
      </c>
      <c r="G39" s="46">
        <v>60000</v>
      </c>
    </row>
    <row r="40" spans="1:7" x14ac:dyDescent="0.25">
      <c r="A40" s="54" t="s">
        <v>158</v>
      </c>
      <c r="B40" s="29">
        <v>50201010</v>
      </c>
      <c r="C40" s="70">
        <v>57608.75</v>
      </c>
      <c r="D40" s="40">
        <v>29512.19</v>
      </c>
      <c r="E40" s="59">
        <f t="shared" ref="E40:E49" si="1">F40-D40</f>
        <v>39485</v>
      </c>
      <c r="F40" s="59">
        <v>68997.19</v>
      </c>
      <c r="G40" s="46">
        <v>60000</v>
      </c>
    </row>
    <row r="41" spans="1:7" x14ac:dyDescent="0.25">
      <c r="A41" s="54" t="s">
        <v>27</v>
      </c>
      <c r="B41" s="31">
        <v>50202010</v>
      </c>
      <c r="C41" s="70">
        <v>32946</v>
      </c>
      <c r="D41" s="40">
        <v>33939</v>
      </c>
      <c r="E41" s="59">
        <f t="shared" si="1"/>
        <v>20995</v>
      </c>
      <c r="F41" s="59">
        <v>54934</v>
      </c>
      <c r="G41" s="46">
        <v>70000</v>
      </c>
    </row>
    <row r="42" spans="1:7" x14ac:dyDescent="0.25">
      <c r="A42" s="54" t="s">
        <v>29</v>
      </c>
      <c r="B42" s="31">
        <v>50205020</v>
      </c>
      <c r="C42" s="70"/>
      <c r="D42" s="40"/>
      <c r="E42" s="59">
        <f t="shared" si="1"/>
        <v>0</v>
      </c>
      <c r="F42" s="59"/>
      <c r="G42" s="46"/>
    </row>
    <row r="43" spans="1:7" x14ac:dyDescent="0.25">
      <c r="A43" s="54" t="s">
        <v>163</v>
      </c>
      <c r="B43" s="31">
        <v>5021990</v>
      </c>
      <c r="C43" s="70">
        <v>138649.21</v>
      </c>
      <c r="D43" s="40">
        <v>4560</v>
      </c>
      <c r="E43" s="59">
        <f t="shared" si="1"/>
        <v>3635.5699999999997</v>
      </c>
      <c r="F43" s="59">
        <v>8195.57</v>
      </c>
      <c r="G43" s="46">
        <v>100000</v>
      </c>
    </row>
    <row r="44" spans="1:7" x14ac:dyDescent="0.25">
      <c r="A44" s="54" t="s">
        <v>31</v>
      </c>
      <c r="B44" s="31">
        <v>50213990</v>
      </c>
      <c r="C44" s="70">
        <v>27279.75</v>
      </c>
      <c r="D44" s="40">
        <v>740</v>
      </c>
      <c r="E44" s="59">
        <f t="shared" si="1"/>
        <v>3000</v>
      </c>
      <c r="F44" s="59">
        <v>3740</v>
      </c>
      <c r="G44" s="46">
        <v>22000</v>
      </c>
    </row>
    <row r="45" spans="1:7" x14ac:dyDescent="0.25">
      <c r="A45" s="54" t="s">
        <v>160</v>
      </c>
      <c r="B45" s="31"/>
      <c r="C45" s="70"/>
      <c r="D45" s="40"/>
      <c r="E45" s="59">
        <f t="shared" si="1"/>
        <v>0</v>
      </c>
      <c r="F45" s="59"/>
      <c r="G45" s="46"/>
    </row>
    <row r="46" spans="1:7" x14ac:dyDescent="0.25">
      <c r="A46" s="54" t="s">
        <v>164</v>
      </c>
      <c r="B46" s="38">
        <v>50203090</v>
      </c>
      <c r="C46" s="70"/>
      <c r="D46" s="40"/>
      <c r="E46" s="59">
        <f t="shared" si="1"/>
        <v>0</v>
      </c>
      <c r="F46" s="59"/>
      <c r="G46" s="46"/>
    </row>
    <row r="47" spans="1:7" x14ac:dyDescent="0.25">
      <c r="A47" s="22" t="s">
        <v>179</v>
      </c>
      <c r="B47" s="38">
        <v>50211990</v>
      </c>
      <c r="C47" s="70">
        <v>90000</v>
      </c>
      <c r="D47" s="40">
        <v>30000</v>
      </c>
      <c r="E47" s="59">
        <f t="shared" si="1"/>
        <v>30000</v>
      </c>
      <c r="F47" s="59">
        <v>60000</v>
      </c>
      <c r="G47" s="46">
        <v>90000</v>
      </c>
    </row>
    <row r="48" spans="1:7" x14ac:dyDescent="0.25">
      <c r="A48" s="7" t="s">
        <v>33</v>
      </c>
      <c r="B48" s="29">
        <v>50299990</v>
      </c>
      <c r="C48" s="70"/>
      <c r="D48" s="40">
        <v>9195.7999999999993</v>
      </c>
      <c r="E48" s="59">
        <f t="shared" si="1"/>
        <v>11118.8</v>
      </c>
      <c r="F48" s="59">
        <v>20314.599999999999</v>
      </c>
      <c r="G48" s="46">
        <v>35000</v>
      </c>
    </row>
    <row r="49" spans="1:7" x14ac:dyDescent="0.25">
      <c r="A49" s="7" t="s">
        <v>22</v>
      </c>
      <c r="B49" s="38">
        <v>50299990</v>
      </c>
      <c r="C49" s="70"/>
      <c r="D49" s="40"/>
      <c r="E49" s="59">
        <f t="shared" si="1"/>
        <v>38560</v>
      </c>
      <c r="F49" s="59">
        <v>38560</v>
      </c>
      <c r="G49" s="46">
        <v>10000</v>
      </c>
    </row>
    <row r="50" spans="1:7" x14ac:dyDescent="0.25">
      <c r="A50" s="7"/>
      <c r="B50" s="38"/>
      <c r="C50" s="70"/>
      <c r="D50" s="40"/>
      <c r="E50" s="59"/>
      <c r="F50" s="70"/>
      <c r="G50" s="46"/>
    </row>
    <row r="51" spans="1:7" x14ac:dyDescent="0.25">
      <c r="A51" s="39" t="s">
        <v>24</v>
      </c>
      <c r="B51" s="11"/>
      <c r="C51" s="12">
        <f>SUM(C39:C48)</f>
        <v>398395.70999999996</v>
      </c>
      <c r="D51" s="12">
        <f>SUM(D39:D50)</f>
        <v>128049.84</v>
      </c>
      <c r="E51" s="12">
        <f>SUM(E39:E50)</f>
        <v>173755.07</v>
      </c>
      <c r="F51" s="12">
        <f>SUM(F39:F48)</f>
        <v>263244.90999999997</v>
      </c>
      <c r="G51" s="12">
        <f>SUM(G39:G50)</f>
        <v>447000</v>
      </c>
    </row>
    <row r="52" spans="1:7" x14ac:dyDescent="0.25">
      <c r="A52" s="8" t="s">
        <v>95</v>
      </c>
      <c r="B52" s="5"/>
      <c r="C52" s="12"/>
      <c r="D52" s="12"/>
      <c r="E52" s="12"/>
      <c r="F52" s="12"/>
      <c r="G52" s="12"/>
    </row>
    <row r="53" spans="1:7" x14ac:dyDescent="0.25">
      <c r="A53" s="7" t="s">
        <v>183</v>
      </c>
      <c r="B53" s="5"/>
      <c r="C53" s="169"/>
      <c r="D53" s="169"/>
      <c r="E53" s="169"/>
      <c r="F53" s="169"/>
      <c r="G53" s="169"/>
    </row>
    <row r="54" spans="1:7" x14ac:dyDescent="0.25">
      <c r="A54" s="54" t="s">
        <v>131</v>
      </c>
      <c r="B54" s="5">
        <v>10705990</v>
      </c>
      <c r="C54" s="169">
        <v>11392.75</v>
      </c>
      <c r="D54" s="169"/>
      <c r="E54" s="169"/>
      <c r="F54" s="169"/>
      <c r="G54" s="169"/>
    </row>
    <row r="55" spans="1:7" x14ac:dyDescent="0.25">
      <c r="A55" s="11" t="s">
        <v>60</v>
      </c>
      <c r="B55" s="11"/>
      <c r="C55" s="12">
        <f t="shared" ref="C55:F55" si="2">C53+C54</f>
        <v>11392.75</v>
      </c>
      <c r="D55" s="12">
        <f t="shared" si="2"/>
        <v>0</v>
      </c>
      <c r="E55" s="12">
        <f t="shared" si="2"/>
        <v>0</v>
      </c>
      <c r="F55" s="12">
        <f t="shared" si="2"/>
        <v>0</v>
      </c>
      <c r="G55" s="12"/>
    </row>
    <row r="56" spans="1:7" x14ac:dyDescent="0.25">
      <c r="A56" s="69" t="s">
        <v>61</v>
      </c>
      <c r="B56" s="37"/>
      <c r="C56" s="68">
        <f>C37+C51+C55</f>
        <v>2414426.5249999999</v>
      </c>
      <c r="D56" s="68">
        <f t="shared" ref="D56:G56" si="3">D37+D51+D55</f>
        <v>1231603.8800000001</v>
      </c>
      <c r="E56" s="68">
        <f t="shared" si="3"/>
        <v>1030042.8800000001</v>
      </c>
      <c r="F56" s="68">
        <f t="shared" si="3"/>
        <v>2223086.7599999998</v>
      </c>
      <c r="G56" s="68">
        <f t="shared" si="3"/>
        <v>2990001.53</v>
      </c>
    </row>
    <row r="58" spans="1:7" ht="30" customHeight="1" x14ac:dyDescent="0.35">
      <c r="A58" s="154" t="s">
        <v>68</v>
      </c>
      <c r="B58" s="154" t="s">
        <v>69</v>
      </c>
      <c r="C58" s="154"/>
      <c r="D58" s="154"/>
      <c r="E58" s="154" t="s">
        <v>308</v>
      </c>
      <c r="F58" s="154"/>
      <c r="G58" s="154"/>
    </row>
    <row r="59" spans="1:7" ht="30.75" customHeight="1" x14ac:dyDescent="0.35">
      <c r="A59" s="154"/>
      <c r="B59" s="154"/>
      <c r="C59" s="154"/>
      <c r="D59" s="154"/>
      <c r="E59" s="154"/>
      <c r="F59" s="154"/>
      <c r="G59" s="154"/>
    </row>
    <row r="60" spans="1:7" ht="21" x14ac:dyDescent="0.35">
      <c r="A60" s="155" t="s">
        <v>181</v>
      </c>
      <c r="B60" s="155" t="s">
        <v>157</v>
      </c>
      <c r="C60" s="154"/>
      <c r="D60" s="154"/>
      <c r="E60" s="180" t="s">
        <v>167</v>
      </c>
      <c r="F60" s="181"/>
      <c r="G60" s="181"/>
    </row>
    <row r="61" spans="1:7" ht="21" x14ac:dyDescent="0.35">
      <c r="A61" s="154" t="s">
        <v>260</v>
      </c>
      <c r="B61" s="154" t="s">
        <v>257</v>
      </c>
      <c r="C61" s="154"/>
      <c r="D61" s="154"/>
      <c r="E61" s="181" t="s">
        <v>63</v>
      </c>
      <c r="F61" s="181"/>
      <c r="G61" s="181"/>
    </row>
    <row r="62" spans="1:7" ht="21" x14ac:dyDescent="0.35">
      <c r="A62" s="154"/>
      <c r="B62" s="154"/>
      <c r="C62" s="154"/>
      <c r="D62" s="154"/>
      <c r="E62" s="154"/>
      <c r="F62" s="154"/>
      <c r="G62" s="154"/>
    </row>
    <row r="63" spans="1:7" ht="21" x14ac:dyDescent="0.35">
      <c r="A63" s="154"/>
      <c r="B63" s="154"/>
      <c r="C63" s="154"/>
      <c r="D63" s="154"/>
      <c r="E63" s="154"/>
      <c r="F63" s="154"/>
      <c r="G63" s="154"/>
    </row>
    <row r="64" spans="1:7" ht="21" x14ac:dyDescent="0.35">
      <c r="A64" s="154"/>
      <c r="B64" s="154"/>
      <c r="C64" s="154"/>
      <c r="D64" s="154"/>
      <c r="E64" s="154"/>
      <c r="F64" s="154"/>
      <c r="G64" s="154"/>
    </row>
    <row r="65" spans="1:7" ht="21" x14ac:dyDescent="0.35">
      <c r="A65" s="154"/>
      <c r="B65" s="154"/>
      <c r="C65" s="154"/>
      <c r="D65" s="154"/>
      <c r="E65" s="154"/>
      <c r="F65" s="154"/>
      <c r="G65" s="154"/>
    </row>
    <row r="66" spans="1:7" ht="21" x14ac:dyDescent="0.35">
      <c r="A66" s="154"/>
      <c r="B66" s="154"/>
      <c r="C66" s="154"/>
      <c r="D66" s="154"/>
      <c r="E66" s="154"/>
      <c r="F66" s="154"/>
      <c r="G66" s="154"/>
    </row>
  </sheetData>
  <sheetProtection password="CCFC" sheet="1" objects="1" scenarios="1" selectLockedCells="1" selectUnlockedCells="1"/>
  <mergeCells count="5">
    <mergeCell ref="A3:G3"/>
    <mergeCell ref="A10:A11"/>
    <mergeCell ref="B10:B11"/>
    <mergeCell ref="D10:F10"/>
    <mergeCell ref="A4:G4"/>
  </mergeCells>
  <printOptions horizontalCentered="1"/>
  <pageMargins left="1" right="0" top="0.75" bottom="0" header="0" footer="0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Summary</vt:lpstr>
      <vt:lpstr>MO</vt:lpstr>
      <vt:lpstr>MO(Misc.)</vt:lpstr>
      <vt:lpstr>SB(L)</vt:lpstr>
      <vt:lpstr>SB(S)</vt:lpstr>
      <vt:lpstr>MPDC</vt:lpstr>
      <vt:lpstr>LCR</vt:lpstr>
      <vt:lpstr>MBO</vt:lpstr>
      <vt:lpstr>Accounting</vt:lpstr>
      <vt:lpstr>MTO</vt:lpstr>
      <vt:lpstr>Assessor</vt:lpstr>
      <vt:lpstr>MHO</vt:lpstr>
      <vt:lpstr>MSWD</vt:lpstr>
      <vt:lpstr>Agri</vt:lpstr>
      <vt:lpstr>MEO</vt:lpstr>
      <vt:lpstr>MENRO</vt:lpstr>
      <vt:lpstr>LDRRM</vt:lpstr>
      <vt:lpstr>MRKT</vt:lpstr>
      <vt:lpstr>piwas</vt:lpstr>
      <vt:lpstr>20%</vt:lpstr>
      <vt:lpstr>5%</vt:lpstr>
      <vt:lpstr>SB</vt:lpstr>
      <vt:lpstr>mpdc2018</vt:lpstr>
      <vt:lpstr>MPDC 2</vt:lpstr>
      <vt:lpstr>ASSESS</vt:lpstr>
      <vt:lpstr>MSWDO</vt:lpstr>
      <vt:lpstr>AGRI 2</vt:lpstr>
      <vt:lpstr>MENRO2</vt:lpstr>
      <vt:lpstr>LCPC</vt:lpstr>
      <vt:lpstr>PWD</vt:lpstr>
      <vt:lpstr>GAD</vt:lpstr>
      <vt:lpstr>Peace and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RECHEL</dc:creator>
  <cp:lastModifiedBy>User</cp:lastModifiedBy>
  <cp:lastPrinted>2018-03-20T08:45:58Z</cp:lastPrinted>
  <dcterms:created xsi:type="dcterms:W3CDTF">2016-08-06T07:39:20Z</dcterms:created>
  <dcterms:modified xsi:type="dcterms:W3CDTF">2018-03-23T03:05:18Z</dcterms:modified>
</cp:coreProperties>
</file>