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8.xml" ContentType="application/vnd.openxmlformats-officedocument.spreadsheetml.comments+xml"/>
  <Override PartName="/xl/drawings/drawing20.xml" ContentType="application/vnd.openxmlformats-officedocument.drawing+xml"/>
  <Override PartName="/xl/comments9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0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11.xml" ContentType="application/vnd.openxmlformats-officedocument.spreadsheetml.comments+xml"/>
  <Override PartName="/xl/drawings/drawing25.xml" ContentType="application/vnd.openxmlformats-officedocument.drawing+xml"/>
  <Override PartName="/xl/comments12.xml" ContentType="application/vnd.openxmlformats-officedocument.spreadsheetml.comments+xml"/>
  <Override PartName="/xl/drawings/drawing26.xml" ContentType="application/vnd.openxmlformats-officedocument.drawing+xml"/>
  <Override PartName="/xl/comments13.xml" ContentType="application/vnd.openxmlformats-officedocument.spreadsheetml.comments+xml"/>
  <Override PartName="/xl/drawings/drawing27.xml" ContentType="application/vnd.openxmlformats-officedocument.drawing+xml"/>
  <Override PartName="/xl/comments14.xml" ContentType="application/vnd.openxmlformats-officedocument.spreadsheetml.comments+xml"/>
  <Override PartName="/xl/drawings/drawing28.xml" ContentType="application/vnd.openxmlformats-officedocument.drawing+xml"/>
  <Override PartName="/xl/comments15.xml" ContentType="application/vnd.openxmlformats-officedocument.spreadsheetml.comments+xml"/>
  <Override PartName="/xl/drawings/drawing29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LG files  dont delete\DILG_Pilar\reports\Pilar_FDP\2019\annual\"/>
    </mc:Choice>
  </mc:AlternateContent>
  <bookViews>
    <workbookView xWindow="0" yWindow="0" windowWidth="28800" windowHeight="12435" tabRatio="1000" activeTab="8"/>
  </bookViews>
  <sheets>
    <sheet name="summary" sheetId="59" r:id="rId1"/>
    <sheet name="MO" sheetId="1" r:id="rId2"/>
    <sheet name="MO(Misc.)" sheetId="4" r:id="rId3"/>
    <sheet name="SB(L)" sheetId="8" r:id="rId4"/>
    <sheet name="SB(S)" sheetId="9" r:id="rId5"/>
    <sheet name="MPDC" sheetId="13" r:id="rId6"/>
    <sheet name="LCR" sheetId="10" r:id="rId7"/>
    <sheet name="MBO" sheetId="12" r:id="rId8"/>
    <sheet name="Accounting" sheetId="11" r:id="rId9"/>
    <sheet name="MTO" sheetId="7" r:id="rId10"/>
    <sheet name="Assessor" sheetId="20" r:id="rId11"/>
    <sheet name="MHO" sheetId="16" r:id="rId12"/>
    <sheet name="MSWD" sheetId="17" r:id="rId13"/>
    <sheet name="Agri" sheetId="19" r:id="rId14"/>
    <sheet name="MEO" sheetId="18" r:id="rId15"/>
    <sheet name="MENRO" sheetId="39" r:id="rId16"/>
    <sheet name="LDRRM" sheetId="40" r:id="rId17"/>
    <sheet name="MRKT" sheetId="41" r:id="rId18"/>
    <sheet name="piwas" sheetId="42" r:id="rId19"/>
    <sheet name="20%" sheetId="49" r:id="rId20"/>
    <sheet name="5%" sheetId="50" r:id="rId21"/>
    <sheet name="mpdc2018" sheetId="51" r:id="rId22"/>
    <sheet name="ASSESS" sheetId="52" r:id="rId23"/>
    <sheet name="AGRI (2)" sheetId="53" r:id="rId24"/>
    <sheet name="MENRO (2)" sheetId="54" r:id="rId25"/>
    <sheet name="Peace&amp;Order" sheetId="58" r:id="rId26"/>
    <sheet name="LCPC" sheetId="55" r:id="rId27"/>
    <sheet name="PWD-OSCA" sheetId="56" r:id="rId28"/>
    <sheet name="GAD" sheetId="57" r:id="rId29"/>
  </sheets>
  <externalReferences>
    <externalReference r:id="rId30"/>
    <externalReference r:id="rId31"/>
    <externalReference r:id="rId32"/>
    <externalReference r:id="rId33"/>
  </externalReferences>
  <definedNames>
    <definedName name="_xlnm.Print_Area" localSheetId="19">'20%'!$A$6:$J$62</definedName>
    <definedName name="_xlnm.Print_Area" localSheetId="8">Accounting!$A$1:$I$51</definedName>
    <definedName name="_xlnm.Print_Area" localSheetId="13">Agri!$B$1:$I$51</definedName>
    <definedName name="_xlnm.Print_Area" localSheetId="23">'AGRI (2)'!$A$1:$K$63</definedName>
    <definedName name="_xlnm.Print_Area" localSheetId="22">ASSESS!$A$1:$K$30</definedName>
    <definedName name="_xlnm.Print_Area" localSheetId="10">Assessor!$A$1:$I$52</definedName>
    <definedName name="_xlnm.Print_Area" localSheetId="28">GAD!$A$1:$I$32</definedName>
    <definedName name="_xlnm.Print_Area" localSheetId="26">LCPC!$A$6:$I$35</definedName>
    <definedName name="_xlnm.Print_Area" localSheetId="6">LCR!$A$1:$I$51</definedName>
    <definedName name="_xlnm.Print_Area" localSheetId="16">LDRRM!$B$1:$I$49</definedName>
    <definedName name="_xlnm.Print_Area" localSheetId="7">MBO!$A$1:$I$55</definedName>
    <definedName name="_xlnm.Print_Area" localSheetId="15">MENRO!$B$1:$I$46</definedName>
    <definedName name="_xlnm.Print_Area" localSheetId="24">'MENRO (2)'!$A$1:$K$45</definedName>
    <definedName name="_xlnm.Print_Area" localSheetId="14">MEO!$A$1:$I$48</definedName>
    <definedName name="_xlnm.Print_Area" localSheetId="11">MHO!$A$1:$I$65</definedName>
    <definedName name="_xlnm.Print_Area" localSheetId="1">MO!$A$1:$I$60</definedName>
    <definedName name="_xlnm.Print_Area" localSheetId="2">'MO(Misc.)'!$B$53:$I$57</definedName>
    <definedName name="_xlnm.Print_Area" localSheetId="5">MPDC!$A$1:$I$47</definedName>
    <definedName name="_xlnm.Print_Area" localSheetId="21">mpdc2018!$A$1:$K$55</definedName>
    <definedName name="_xlnm.Print_Area" localSheetId="17">MRKT!$B$1:$I$54</definedName>
    <definedName name="_xlnm.Print_Area" localSheetId="12">MSWD!$A$1:$I$55</definedName>
    <definedName name="_xlnm.Print_Area" localSheetId="9">MTO!$A$1:$I$57</definedName>
    <definedName name="_xlnm.Print_Area" localSheetId="18">piwas!$A$1:$I$49</definedName>
    <definedName name="_xlnm.Print_Area" localSheetId="27">'PWD-OSCA'!$A$6:$H$59</definedName>
    <definedName name="_xlnm.Print_Area" localSheetId="3">'SB(L)'!$A$1:$I$54</definedName>
    <definedName name="_xlnm.Print_Area" localSheetId="4">'SB(S)'!$A$1:$I$44</definedName>
    <definedName name="_xlnm.Print_Titles" localSheetId="28">GAD!$7:$11</definedName>
    <definedName name="_xlnm.Print_Titles" localSheetId="6">LCR!$6:$14</definedName>
    <definedName name="_xlnm.Print_Titles" localSheetId="7">MBO!$10:$14</definedName>
    <definedName name="_xlnm.Print_Titles" localSheetId="2">'MO(Misc.)'!$10:$14</definedName>
    <definedName name="_xlnm.Print_Titles" localSheetId="21">mpdc2018!$10:$14</definedName>
    <definedName name="_xlnm.Print_Titles" localSheetId="12">MSWD!$10:$14</definedName>
    <definedName name="_xlnm.Print_Titles" localSheetId="25">'Peace&amp;Order'!$8:$12</definedName>
  </definedNames>
  <calcPr calcId="152511"/>
  <fileRecoveryPr autoRecover="0"/>
</workbook>
</file>

<file path=xl/calcChain.xml><?xml version="1.0" encoding="utf-8"?>
<calcChain xmlns="http://schemas.openxmlformats.org/spreadsheetml/2006/main">
  <c r="G81" i="4" l="1"/>
  <c r="F69" i="58"/>
  <c r="H64" i="58"/>
  <c r="G64" i="58"/>
  <c r="E64" i="58"/>
  <c r="D64" i="58"/>
  <c r="F63" i="58"/>
  <c r="F62" i="58"/>
  <c r="F61" i="58"/>
  <c r="F60" i="58"/>
  <c r="F59" i="58"/>
  <c r="H57" i="58"/>
  <c r="G57" i="58"/>
  <c r="E57" i="58"/>
  <c r="D57" i="58"/>
  <c r="F56" i="58"/>
  <c r="F48" i="58"/>
  <c r="F44" i="58"/>
  <c r="F35" i="58"/>
  <c r="H34" i="58"/>
  <c r="G34" i="58"/>
  <c r="E34" i="58"/>
  <c r="D34" i="58"/>
  <c r="F33" i="58"/>
  <c r="F32" i="58"/>
  <c r="F31" i="58"/>
  <c r="F30" i="58"/>
  <c r="F29" i="58"/>
  <c r="F28" i="58"/>
  <c r="F27" i="58"/>
  <c r="F26" i="58"/>
  <c r="H23" i="58"/>
  <c r="H65" i="58" s="1"/>
  <c r="G23" i="58"/>
  <c r="E23" i="58"/>
  <c r="E65" i="58" s="1"/>
  <c r="D23" i="58"/>
  <c r="F22" i="58"/>
  <c r="C22" i="58"/>
  <c r="F21" i="58"/>
  <c r="F20" i="58"/>
  <c r="C19" i="58"/>
  <c r="F18" i="58"/>
  <c r="F15" i="58"/>
  <c r="I15" i="58" s="1"/>
  <c r="F13" i="58"/>
  <c r="I49" i="57"/>
  <c r="H49" i="57"/>
  <c r="G49" i="57"/>
  <c r="F49" i="57"/>
  <c r="D49" i="57"/>
  <c r="H47" i="57"/>
  <c r="G47" i="57"/>
  <c r="F47" i="57"/>
  <c r="E47" i="57"/>
  <c r="D47" i="57"/>
  <c r="I46" i="57"/>
  <c r="I47" i="57" s="1"/>
  <c r="C43" i="57"/>
  <c r="I41" i="57"/>
  <c r="H41" i="57"/>
  <c r="F41" i="57"/>
  <c r="E41" i="57"/>
  <c r="D41" i="57"/>
  <c r="G40" i="57"/>
  <c r="C40" i="57"/>
  <c r="G39" i="57"/>
  <c r="G38" i="57"/>
  <c r="I36" i="57"/>
  <c r="H36" i="57"/>
  <c r="F36" i="57"/>
  <c r="E36" i="57"/>
  <c r="D36" i="57"/>
  <c r="G35" i="57"/>
  <c r="G34" i="57"/>
  <c r="G36" i="57" s="1"/>
  <c r="I32" i="57"/>
  <c r="H32" i="57"/>
  <c r="F32" i="57"/>
  <c r="E32" i="57"/>
  <c r="D32" i="57"/>
  <c r="G30" i="57"/>
  <c r="G29" i="57"/>
  <c r="C29" i="57"/>
  <c r="G28" i="57"/>
  <c r="G32" i="57" s="1"/>
  <c r="C28" i="57"/>
  <c r="G27" i="57"/>
  <c r="I24" i="57"/>
  <c r="H24" i="57"/>
  <c r="F24" i="57"/>
  <c r="E24" i="57"/>
  <c r="G23" i="57"/>
  <c r="G22" i="57"/>
  <c r="G24" i="57" s="1"/>
  <c r="I21" i="57"/>
  <c r="H21" i="57"/>
  <c r="F21" i="57"/>
  <c r="F50" i="57" s="1"/>
  <c r="F51" i="57" s="1"/>
  <c r="E21" i="57"/>
  <c r="D21" i="57"/>
  <c r="D24" i="57" s="1"/>
  <c r="G20" i="57"/>
  <c r="C20" i="57"/>
  <c r="G19" i="57"/>
  <c r="C19" i="57"/>
  <c r="G18" i="57"/>
  <c r="C18" i="57"/>
  <c r="I16" i="57"/>
  <c r="I50" i="57" s="1"/>
  <c r="I51" i="57" s="1"/>
  <c r="H16" i="57"/>
  <c r="F16" i="57"/>
  <c r="E16" i="57"/>
  <c r="D16" i="57"/>
  <c r="G15" i="57"/>
  <c r="G14" i="57"/>
  <c r="G59" i="56"/>
  <c r="E59" i="56"/>
  <c r="D59" i="56"/>
  <c r="C59" i="56"/>
  <c r="H57" i="56"/>
  <c r="F55" i="56"/>
  <c r="F54" i="56"/>
  <c r="H53" i="56"/>
  <c r="F53" i="56"/>
  <c r="B53" i="56"/>
  <c r="F52" i="56"/>
  <c r="H51" i="56"/>
  <c r="H50" i="56"/>
  <c r="F48" i="56"/>
  <c r="H43" i="56"/>
  <c r="B42" i="56"/>
  <c r="H41" i="56"/>
  <c r="H39" i="56"/>
  <c r="H59" i="56" s="1"/>
  <c r="F33" i="56"/>
  <c r="F32" i="56"/>
  <c r="F29" i="56"/>
  <c r="F28" i="56"/>
  <c r="F27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I35" i="55"/>
  <c r="H35" i="55"/>
  <c r="F35" i="55"/>
  <c r="E35" i="55"/>
  <c r="D35" i="55"/>
  <c r="G34" i="55"/>
  <c r="C34" i="55"/>
  <c r="G33" i="55"/>
  <c r="G31" i="55"/>
  <c r="G30" i="55"/>
  <c r="G29" i="55"/>
  <c r="C26" i="55"/>
  <c r="G23" i="55"/>
  <c r="G14" i="55"/>
  <c r="K41" i="54"/>
  <c r="J41" i="54"/>
  <c r="H41" i="54"/>
  <c r="G41" i="54"/>
  <c r="F41" i="54"/>
  <c r="I40" i="54"/>
  <c r="I38" i="54"/>
  <c r="I36" i="54"/>
  <c r="I41" i="54" s="1"/>
  <c r="K35" i="54"/>
  <c r="J35" i="54"/>
  <c r="H35" i="54"/>
  <c r="G35" i="54"/>
  <c r="F35" i="54"/>
  <c r="I34" i="54"/>
  <c r="E34" i="54"/>
  <c r="I33" i="54"/>
  <c r="E33" i="54"/>
  <c r="I32" i="54"/>
  <c r="K30" i="54"/>
  <c r="J30" i="54"/>
  <c r="H30" i="54"/>
  <c r="G30" i="54"/>
  <c r="F30" i="54"/>
  <c r="I29" i="54"/>
  <c r="I28" i="54"/>
  <c r="I27" i="54"/>
  <c r="I26" i="54"/>
  <c r="J25" i="54"/>
  <c r="J42" i="54" s="1"/>
  <c r="J44" i="54" s="1"/>
  <c r="H25" i="54"/>
  <c r="F25" i="54"/>
  <c r="I24" i="54"/>
  <c r="K23" i="54"/>
  <c r="K25" i="54" s="1"/>
  <c r="I23" i="54"/>
  <c r="G23" i="54"/>
  <c r="G25" i="54" s="1"/>
  <c r="I22" i="54"/>
  <c r="I21" i="54"/>
  <c r="I25" i="54" s="1"/>
  <c r="K20" i="54"/>
  <c r="J20" i="54"/>
  <c r="H20" i="54"/>
  <c r="G20" i="54"/>
  <c r="F20" i="54"/>
  <c r="I19" i="54"/>
  <c r="E19" i="54"/>
  <c r="E24" i="54" s="1"/>
  <c r="E29" i="54" s="1"/>
  <c r="E39" i="54" s="1"/>
  <c r="I18" i="54"/>
  <c r="E18" i="54"/>
  <c r="E23" i="54" s="1"/>
  <c r="E28" i="54" s="1"/>
  <c r="I17" i="54"/>
  <c r="E17" i="54"/>
  <c r="E38" i="54" s="1"/>
  <c r="I16" i="54"/>
  <c r="I15" i="54"/>
  <c r="K60" i="53"/>
  <c r="J60" i="53"/>
  <c r="H60" i="53"/>
  <c r="G60" i="53"/>
  <c r="F60" i="53"/>
  <c r="I59" i="53"/>
  <c r="I58" i="53"/>
  <c r="I57" i="53"/>
  <c r="I56" i="53"/>
  <c r="K54" i="53"/>
  <c r="J54" i="53"/>
  <c r="H54" i="53"/>
  <c r="G54" i="53"/>
  <c r="F54" i="53"/>
  <c r="I53" i="53"/>
  <c r="E53" i="53"/>
  <c r="I52" i="53"/>
  <c r="I51" i="53"/>
  <c r="E51" i="53"/>
  <c r="K49" i="53"/>
  <c r="J49" i="53"/>
  <c r="H49" i="53"/>
  <c r="G49" i="53"/>
  <c r="F49" i="53"/>
  <c r="I47" i="53"/>
  <c r="E47" i="53"/>
  <c r="I46" i="53"/>
  <c r="I45" i="53"/>
  <c r="I44" i="53"/>
  <c r="E44" i="53"/>
  <c r="I43" i="53"/>
  <c r="I42" i="53"/>
  <c r="I41" i="53"/>
  <c r="K39" i="53"/>
  <c r="J39" i="53"/>
  <c r="H39" i="53"/>
  <c r="G39" i="53"/>
  <c r="F39" i="53"/>
  <c r="I38" i="53"/>
  <c r="E38" i="53"/>
  <c r="I37" i="53"/>
  <c r="I36" i="53"/>
  <c r="J33" i="53"/>
  <c r="H33" i="53"/>
  <c r="G33" i="53"/>
  <c r="F33" i="53"/>
  <c r="I32" i="53"/>
  <c r="E32" i="53"/>
  <c r="E48" i="53" s="1"/>
  <c r="K31" i="53"/>
  <c r="K33" i="53" s="1"/>
  <c r="I31" i="53"/>
  <c r="E31" i="53"/>
  <c r="I30" i="53"/>
  <c r="I29" i="53"/>
  <c r="E29" i="53"/>
  <c r="I28" i="53"/>
  <c r="K26" i="53"/>
  <c r="J26" i="53"/>
  <c r="H26" i="53"/>
  <c r="G26" i="53"/>
  <c r="F26" i="53"/>
  <c r="I25" i="53"/>
  <c r="I26" i="53" s="1"/>
  <c r="K23" i="53"/>
  <c r="J23" i="53"/>
  <c r="H23" i="53"/>
  <c r="G23" i="53"/>
  <c r="F23" i="53"/>
  <c r="I22" i="53"/>
  <c r="I21" i="53"/>
  <c r="J19" i="53"/>
  <c r="H19" i="53"/>
  <c r="G19" i="53"/>
  <c r="F19" i="53"/>
  <c r="I18" i="53"/>
  <c r="I17" i="53"/>
  <c r="K16" i="53"/>
  <c r="K19" i="53" s="1"/>
  <c r="I16" i="53"/>
  <c r="E16" i="53"/>
  <c r="K25" i="52"/>
  <c r="J25" i="52"/>
  <c r="H25" i="52"/>
  <c r="G25" i="52"/>
  <c r="F25" i="52"/>
  <c r="I24" i="52"/>
  <c r="I23" i="52"/>
  <c r="I22" i="52"/>
  <c r="E22" i="52"/>
  <c r="K20" i="52"/>
  <c r="K28" i="52" s="1"/>
  <c r="J20" i="52"/>
  <c r="H20" i="52"/>
  <c r="H28" i="52" s="1"/>
  <c r="H30" i="52" s="1"/>
  <c r="G20" i="52"/>
  <c r="F20" i="52"/>
  <c r="F28" i="52" s="1"/>
  <c r="F30" i="52" s="1"/>
  <c r="I19" i="52"/>
  <c r="I18" i="52"/>
  <c r="I17" i="52"/>
  <c r="E17" i="52"/>
  <c r="I16" i="52"/>
  <c r="K54" i="51"/>
  <c r="K52" i="51"/>
  <c r="J52" i="51"/>
  <c r="H52" i="51"/>
  <c r="G52" i="51"/>
  <c r="F52" i="51"/>
  <c r="I50" i="51"/>
  <c r="I49" i="51"/>
  <c r="I46" i="51"/>
  <c r="I44" i="51"/>
  <c r="K43" i="51"/>
  <c r="J43" i="51"/>
  <c r="H43" i="51"/>
  <c r="G43" i="51"/>
  <c r="F43" i="51"/>
  <c r="I42" i="51"/>
  <c r="I41" i="51"/>
  <c r="I40" i="51"/>
  <c r="I39" i="51"/>
  <c r="I38" i="51"/>
  <c r="I37" i="51"/>
  <c r="I36" i="51"/>
  <c r="I35" i="51"/>
  <c r="K33" i="51"/>
  <c r="J33" i="51"/>
  <c r="H33" i="51"/>
  <c r="G33" i="51"/>
  <c r="F33" i="51"/>
  <c r="I31" i="51"/>
  <c r="I30" i="51"/>
  <c r="I29" i="51"/>
  <c r="I33" i="51" s="1"/>
  <c r="K27" i="51"/>
  <c r="J27" i="51"/>
  <c r="H27" i="51"/>
  <c r="G27" i="51"/>
  <c r="F27" i="51"/>
  <c r="I26" i="51"/>
  <c r="I25" i="51"/>
  <c r="I24" i="51"/>
  <c r="I27" i="51" s="1"/>
  <c r="K22" i="51"/>
  <c r="J22" i="51"/>
  <c r="H22" i="51"/>
  <c r="G22" i="51"/>
  <c r="G53" i="51" s="1"/>
  <c r="G55" i="51" s="1"/>
  <c r="F22" i="51"/>
  <c r="I21" i="51"/>
  <c r="I20" i="51"/>
  <c r="I19" i="51"/>
  <c r="I22" i="51" s="1"/>
  <c r="I18" i="51"/>
  <c r="H69" i="50"/>
  <c r="G69" i="50"/>
  <c r="F69" i="50"/>
  <c r="E69" i="50"/>
  <c r="D69" i="50"/>
  <c r="H62" i="50"/>
  <c r="G62" i="50"/>
  <c r="E62" i="50"/>
  <c r="D62" i="50"/>
  <c r="F61" i="50"/>
  <c r="F60" i="50"/>
  <c r="F62" i="50" s="1"/>
  <c r="F59" i="50"/>
  <c r="H56" i="50"/>
  <c r="G56" i="50"/>
  <c r="E56" i="50"/>
  <c r="D56" i="50"/>
  <c r="F55" i="50"/>
  <c r="F54" i="50"/>
  <c r="F53" i="50"/>
  <c r="F52" i="50"/>
  <c r="F51" i="50"/>
  <c r="H48" i="50"/>
  <c r="G48" i="50"/>
  <c r="E48" i="50"/>
  <c r="D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48" i="50" s="1"/>
  <c r="F33" i="50"/>
  <c r="H30" i="50"/>
  <c r="H71" i="50" s="1"/>
  <c r="G30" i="50"/>
  <c r="G71" i="50" s="1"/>
  <c r="E30" i="50"/>
  <c r="E71" i="50" s="1"/>
  <c r="D30" i="50"/>
  <c r="F29" i="50"/>
  <c r="F28" i="50"/>
  <c r="F30" i="50" s="1"/>
  <c r="F71" i="50" s="1"/>
  <c r="H26" i="50"/>
  <c r="G26" i="50"/>
  <c r="E26" i="50"/>
  <c r="D26" i="50"/>
  <c r="D70" i="50" s="1"/>
  <c r="F25" i="50"/>
  <c r="F24" i="50"/>
  <c r="F23" i="50"/>
  <c r="F22" i="50"/>
  <c r="F21" i="50"/>
  <c r="F20" i="50"/>
  <c r="F19" i="50"/>
  <c r="F18" i="50"/>
  <c r="F17" i="50"/>
  <c r="J61" i="49"/>
  <c r="I61" i="49"/>
  <c r="G61" i="49"/>
  <c r="F61" i="49"/>
  <c r="E61" i="49"/>
  <c r="H60" i="49"/>
  <c r="H59" i="49"/>
  <c r="H58" i="49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J20" i="49"/>
  <c r="J62" i="49" s="1"/>
  <c r="I20" i="49"/>
  <c r="I62" i="49" s="1"/>
  <c r="G20" i="49"/>
  <c r="G62" i="49" s="1"/>
  <c r="F20" i="49"/>
  <c r="F62" i="49" s="1"/>
  <c r="E20" i="49"/>
  <c r="E62" i="49" s="1"/>
  <c r="H19" i="49"/>
  <c r="H17" i="49"/>
  <c r="H16" i="49"/>
  <c r="G42" i="54" l="1"/>
  <c r="G44" i="54" s="1"/>
  <c r="H61" i="49"/>
  <c r="E70" i="50"/>
  <c r="E72" i="50" s="1"/>
  <c r="H42" i="54"/>
  <c r="H44" i="54" s="1"/>
  <c r="E50" i="57"/>
  <c r="E51" i="57" s="1"/>
  <c r="H20" i="49"/>
  <c r="G70" i="50"/>
  <c r="G72" i="50" s="1"/>
  <c r="D71" i="50"/>
  <c r="D72" i="50" s="1"/>
  <c r="I60" i="53"/>
  <c r="I20" i="54"/>
  <c r="F42" i="54"/>
  <c r="F44" i="54" s="1"/>
  <c r="G21" i="57"/>
  <c r="F26" i="50"/>
  <c r="H70" i="50"/>
  <c r="H72" i="50" s="1"/>
  <c r="F56" i="50"/>
  <c r="F61" i="53"/>
  <c r="F63" i="53" s="1"/>
  <c r="I49" i="53"/>
  <c r="I30" i="54"/>
  <c r="I35" i="54"/>
  <c r="F59" i="56"/>
  <c r="G16" i="57"/>
  <c r="H50" i="57"/>
  <c r="H51" i="57" s="1"/>
  <c r="G41" i="57"/>
  <c r="F23" i="58"/>
  <c r="F65" i="58" s="1"/>
  <c r="G65" i="58"/>
  <c r="F34" i="58"/>
  <c r="F57" i="58"/>
  <c r="D65" i="58"/>
  <c r="F64" i="58"/>
  <c r="G35" i="55"/>
  <c r="I23" i="53"/>
  <c r="I33" i="53"/>
  <c r="K61" i="53"/>
  <c r="K63" i="53" s="1"/>
  <c r="H61" i="53"/>
  <c r="H63" i="53" s="1"/>
  <c r="G61" i="53"/>
  <c r="G63" i="53" s="1"/>
  <c r="I19" i="53"/>
  <c r="I61" i="53" s="1"/>
  <c r="I63" i="53" s="1"/>
  <c r="J61" i="53"/>
  <c r="J63" i="53" s="1"/>
  <c r="I39" i="53"/>
  <c r="I54" i="53"/>
  <c r="G28" i="52"/>
  <c r="G30" i="52" s="1"/>
  <c r="I25" i="52"/>
  <c r="I20" i="52"/>
  <c r="J28" i="52"/>
  <c r="J30" i="52" s="1"/>
  <c r="H53" i="51"/>
  <c r="H55" i="51" s="1"/>
  <c r="I43" i="51"/>
  <c r="J53" i="51"/>
  <c r="J55" i="51" s="1"/>
  <c r="I52" i="51"/>
  <c r="F53" i="51"/>
  <c r="F55" i="51" s="1"/>
  <c r="I14" i="58"/>
  <c r="D50" i="57"/>
  <c r="D51" i="57" s="1"/>
  <c r="I42" i="54"/>
  <c r="I44" i="54" s="1"/>
  <c r="K42" i="54"/>
  <c r="I53" i="51"/>
  <c r="I55" i="51" s="1"/>
  <c r="K53" i="51"/>
  <c r="K55" i="51" s="1"/>
  <c r="H62" i="49"/>
  <c r="I28" i="52" l="1"/>
  <c r="I30" i="52" s="1"/>
  <c r="G50" i="57"/>
  <c r="G51" i="57" s="1"/>
  <c r="F70" i="50"/>
  <c r="F72" i="50" s="1"/>
  <c r="K44" i="54"/>
  <c r="H23" i="12" l="1"/>
  <c r="H38" i="9"/>
  <c r="F38" i="9"/>
  <c r="G46" i="1" l="1"/>
  <c r="G45" i="1"/>
  <c r="G44" i="1"/>
  <c r="G43" i="1"/>
  <c r="G41" i="1"/>
  <c r="G37" i="1"/>
  <c r="G36" i="1"/>
  <c r="G35" i="1"/>
  <c r="G34" i="1"/>
  <c r="D25" i="12"/>
  <c r="G16" i="4" l="1"/>
  <c r="G34" i="9"/>
  <c r="G35" i="9"/>
  <c r="G36" i="9"/>
  <c r="G41" i="7" l="1"/>
  <c r="G42" i="7"/>
  <c r="H45" i="7"/>
  <c r="F45" i="7"/>
  <c r="H30" i="12" l="1"/>
  <c r="H76" i="4"/>
  <c r="H73" i="4"/>
  <c r="H77" i="4" s="1"/>
  <c r="H28" i="19"/>
  <c r="H25" i="19"/>
  <c r="H16" i="19"/>
  <c r="F30" i="12"/>
  <c r="F28" i="19"/>
  <c r="F25" i="19"/>
  <c r="F16" i="19"/>
  <c r="F41" i="13"/>
  <c r="G33" i="9" l="1"/>
  <c r="D47" i="8" l="1"/>
  <c r="D42" i="4"/>
  <c r="D52" i="1" l="1"/>
  <c r="I47" i="17" l="1"/>
  <c r="I46" i="17"/>
  <c r="I67" i="4" l="1"/>
  <c r="I59" i="4"/>
  <c r="I41" i="42" l="1"/>
  <c r="I32" i="42"/>
  <c r="I42" i="42" s="1"/>
  <c r="I48" i="42"/>
  <c r="I39" i="42"/>
  <c r="I42" i="41"/>
  <c r="G45" i="18" l="1"/>
  <c r="I34" i="20" l="1"/>
  <c r="I59" i="1"/>
  <c r="I41" i="40"/>
  <c r="I41" i="18"/>
  <c r="I47" i="18"/>
  <c r="I50" i="19"/>
  <c r="I45" i="19"/>
  <c r="I49" i="17"/>
  <c r="I44" i="17"/>
  <c r="I53" i="16"/>
  <c r="I46" i="20"/>
  <c r="I51" i="7"/>
  <c r="I45" i="7"/>
  <c r="I50" i="11"/>
  <c r="I43" i="11"/>
  <c r="G22" i="11"/>
  <c r="I42" i="12"/>
  <c r="I45" i="10"/>
  <c r="I40" i="10"/>
  <c r="I46" i="13"/>
  <c r="I41" i="13"/>
  <c r="I46" i="8"/>
  <c r="I52" i="1"/>
  <c r="I38" i="20" l="1"/>
  <c r="I39" i="20" s="1"/>
  <c r="I47" i="40" l="1"/>
  <c r="I40" i="39"/>
  <c r="I47" i="8"/>
  <c r="H53" i="16"/>
  <c r="I43" i="9"/>
  <c r="I38" i="9"/>
  <c r="I48" i="40" l="1"/>
  <c r="G50" i="16" l="1"/>
  <c r="G49" i="16"/>
  <c r="E73" i="4"/>
  <c r="G71" i="4"/>
  <c r="I69" i="4"/>
  <c r="F73" i="4"/>
  <c r="D73" i="4"/>
  <c r="G70" i="4"/>
  <c r="G69" i="4"/>
  <c r="I73" i="4" l="1"/>
  <c r="G67" i="4" l="1"/>
  <c r="G68" i="4"/>
  <c r="I17" i="7" l="1"/>
  <c r="G34" i="18"/>
  <c r="G35" i="18"/>
  <c r="G35" i="4" l="1"/>
  <c r="E76" i="4"/>
  <c r="D76" i="4"/>
  <c r="D77" i="4" l="1"/>
  <c r="G75" i="4" l="1"/>
  <c r="G63" i="4"/>
  <c r="G64" i="4"/>
  <c r="G65" i="4"/>
  <c r="G66" i="4"/>
  <c r="I76" i="4"/>
  <c r="F76" i="4"/>
  <c r="G76" i="4" l="1"/>
  <c r="E77" i="4"/>
  <c r="F77" i="4"/>
  <c r="D44" i="17"/>
  <c r="I48" i="41"/>
  <c r="D48" i="41"/>
  <c r="D51" i="7"/>
  <c r="H50" i="11"/>
  <c r="G50" i="11"/>
  <c r="F50" i="11"/>
  <c r="E50" i="11"/>
  <c r="D50" i="11"/>
  <c r="D47" i="12"/>
  <c r="I47" i="12"/>
  <c r="H47" i="12"/>
  <c r="F47" i="12"/>
  <c r="E47" i="12"/>
  <c r="H45" i="10"/>
  <c r="G45" i="10"/>
  <c r="F45" i="10"/>
  <c r="E45" i="10"/>
  <c r="D45" i="10"/>
  <c r="H46" i="13"/>
  <c r="G46" i="13"/>
  <c r="F46" i="13"/>
  <c r="E46" i="13"/>
  <c r="D46" i="13"/>
  <c r="H43" i="9"/>
  <c r="G43" i="9"/>
  <c r="F43" i="9"/>
  <c r="E43" i="9"/>
  <c r="D43" i="9"/>
  <c r="I53" i="8"/>
  <c r="H53" i="8"/>
  <c r="G53" i="8"/>
  <c r="F53" i="8"/>
  <c r="E53" i="8"/>
  <c r="D53" i="8"/>
  <c r="H59" i="1"/>
  <c r="I77" i="4" l="1"/>
  <c r="H23" i="42"/>
  <c r="H30" i="42" s="1"/>
  <c r="E48" i="42"/>
  <c r="F48" i="42"/>
  <c r="H48" i="42"/>
  <c r="D48" i="42"/>
  <c r="E42" i="42"/>
  <c r="F42" i="42"/>
  <c r="H42" i="42"/>
  <c r="F30" i="42"/>
  <c r="E23" i="42"/>
  <c r="E30" i="42" s="1"/>
  <c r="G47" i="42"/>
  <c r="G44" i="42"/>
  <c r="D42" i="42"/>
  <c r="D23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16" i="42"/>
  <c r="H46" i="20"/>
  <c r="H23" i="41"/>
  <c r="H30" i="41"/>
  <c r="G17" i="41"/>
  <c r="G18" i="41"/>
  <c r="G19" i="41"/>
  <c r="G20" i="41"/>
  <c r="G21" i="41"/>
  <c r="G22" i="41"/>
  <c r="G24" i="41"/>
  <c r="G25" i="41"/>
  <c r="G26" i="41"/>
  <c r="G27" i="41"/>
  <c r="G28" i="41"/>
  <c r="G29" i="41"/>
  <c r="G16" i="41"/>
  <c r="E48" i="41"/>
  <c r="F48" i="41"/>
  <c r="G48" i="41"/>
  <c r="H48" i="41"/>
  <c r="E42" i="41"/>
  <c r="F42" i="41"/>
  <c r="H42" i="41"/>
  <c r="D42" i="41"/>
  <c r="F23" i="41"/>
  <c r="E23" i="41"/>
  <c r="E30" i="41" s="1"/>
  <c r="D23" i="41"/>
  <c r="F30" i="41" l="1"/>
  <c r="F49" i="41" s="1"/>
  <c r="E49" i="42"/>
  <c r="G48" i="42"/>
  <c r="H49" i="42"/>
  <c r="F49" i="42"/>
  <c r="G30" i="42"/>
  <c r="G23" i="41"/>
  <c r="E49" i="41"/>
  <c r="H49" i="41"/>
  <c r="H23" i="40"/>
  <c r="F23" i="40"/>
  <c r="G40" i="40"/>
  <c r="G39" i="40"/>
  <c r="G38" i="40"/>
  <c r="G37" i="40"/>
  <c r="G36" i="40"/>
  <c r="G35" i="40"/>
  <c r="G34" i="40"/>
  <c r="G33" i="40"/>
  <c r="G32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16" i="40"/>
  <c r="E30" i="40"/>
  <c r="H30" i="40"/>
  <c r="E23" i="40"/>
  <c r="I28" i="20"/>
  <c r="G30" i="41" l="1"/>
  <c r="F30" i="40"/>
  <c r="G30" i="40"/>
  <c r="E48" i="40" l="1"/>
  <c r="F48" i="40"/>
  <c r="G48" i="40"/>
  <c r="H48" i="40"/>
  <c r="D48" i="40"/>
  <c r="E41" i="40"/>
  <c r="F41" i="40"/>
  <c r="G41" i="40"/>
  <c r="H41" i="40"/>
  <c r="D41" i="40"/>
  <c r="D23" i="40"/>
  <c r="E45" i="39"/>
  <c r="G44" i="39" l="1"/>
  <c r="G45" i="39" s="1"/>
  <c r="G33" i="39"/>
  <c r="G34" i="39"/>
  <c r="G35" i="39"/>
  <c r="G36" i="39"/>
  <c r="G37" i="39"/>
  <c r="G38" i="39"/>
  <c r="G39" i="39"/>
  <c r="F45" i="39"/>
  <c r="H45" i="39"/>
  <c r="I45" i="39"/>
  <c r="D45" i="39"/>
  <c r="E40" i="39"/>
  <c r="F40" i="39"/>
  <c r="H40" i="39"/>
  <c r="D40" i="39"/>
  <c r="H22" i="18"/>
  <c r="H29" i="18" s="1"/>
  <c r="G16" i="18"/>
  <c r="G17" i="18"/>
  <c r="G18" i="18"/>
  <c r="G19" i="18"/>
  <c r="G20" i="18"/>
  <c r="G21" i="18"/>
  <c r="G23" i="18"/>
  <c r="G24" i="18"/>
  <c r="G25" i="18"/>
  <c r="G26" i="18"/>
  <c r="G27" i="18"/>
  <c r="G28" i="18"/>
  <c r="G15" i="18"/>
  <c r="E41" i="18"/>
  <c r="F41" i="18"/>
  <c r="H41" i="18"/>
  <c r="D41" i="18"/>
  <c r="F29" i="18"/>
  <c r="E22" i="18"/>
  <c r="E29" i="18" s="1"/>
  <c r="D22" i="18"/>
  <c r="E47" i="18"/>
  <c r="F47" i="18"/>
  <c r="H47" i="18"/>
  <c r="D47" i="18"/>
  <c r="G49" i="19"/>
  <c r="G50" i="19" s="1"/>
  <c r="H23" i="19"/>
  <c r="G23" i="19" s="1"/>
  <c r="G29" i="19"/>
  <c r="G28" i="19"/>
  <c r="G27" i="19"/>
  <c r="G26" i="19"/>
  <c r="G25" i="19"/>
  <c r="G24" i="19"/>
  <c r="G22" i="19"/>
  <c r="G21" i="19"/>
  <c r="G20" i="19"/>
  <c r="G19" i="19"/>
  <c r="G18" i="19"/>
  <c r="G17" i="19"/>
  <c r="G16" i="19"/>
  <c r="G35" i="19"/>
  <c r="G36" i="19"/>
  <c r="G37" i="19"/>
  <c r="G38" i="19"/>
  <c r="G39" i="19"/>
  <c r="G40" i="19"/>
  <c r="G41" i="19"/>
  <c r="G42" i="19"/>
  <c r="G43" i="19"/>
  <c r="G44" i="19"/>
  <c r="F50" i="19"/>
  <c r="E45" i="19"/>
  <c r="F45" i="19"/>
  <c r="H45" i="19"/>
  <c r="D45" i="19"/>
  <c r="F23" i="19"/>
  <c r="E48" i="18" l="1"/>
  <c r="E46" i="39"/>
  <c r="G22" i="18"/>
  <c r="E50" i="19"/>
  <c r="E23" i="19"/>
  <c r="E30" i="19" s="1"/>
  <c r="D23" i="19"/>
  <c r="F30" i="19"/>
  <c r="G30" i="19"/>
  <c r="H30" i="19"/>
  <c r="H50" i="19"/>
  <c r="D50" i="19"/>
  <c r="H25" i="17"/>
  <c r="G25" i="17" s="1"/>
  <c r="F49" i="17"/>
  <c r="E44" i="17"/>
  <c r="F25" i="17"/>
  <c r="F32" i="17" s="1"/>
  <c r="E25" i="17"/>
  <c r="E32" i="17" s="1"/>
  <c r="G17" i="17"/>
  <c r="G18" i="17"/>
  <c r="G19" i="17"/>
  <c r="G20" i="17"/>
  <c r="G21" i="17"/>
  <c r="G22" i="17"/>
  <c r="G23" i="17"/>
  <c r="G24" i="17"/>
  <c r="G26" i="17"/>
  <c r="G27" i="17"/>
  <c r="G28" i="17"/>
  <c r="G29" i="17"/>
  <c r="G30" i="17"/>
  <c r="G31" i="17"/>
  <c r="G16" i="17"/>
  <c r="E49" i="17"/>
  <c r="G49" i="17"/>
  <c r="H49" i="17"/>
  <c r="D49" i="17"/>
  <c r="F44" i="17"/>
  <c r="H44" i="17"/>
  <c r="D25" i="17"/>
  <c r="D32" i="17" s="1"/>
  <c r="H51" i="19" l="1"/>
  <c r="E51" i="19"/>
  <c r="G29" i="18"/>
  <c r="E50" i="17"/>
  <c r="F51" i="19"/>
  <c r="H32" i="17"/>
  <c r="H50" i="17" s="1"/>
  <c r="F50" i="17"/>
  <c r="G32" i="17"/>
  <c r="G38" i="17" l="1"/>
  <c r="G40" i="17"/>
  <c r="G41" i="17"/>
  <c r="G42" i="17"/>
  <c r="G37" i="17"/>
  <c r="G43" i="17"/>
  <c r="H26" i="16" l="1"/>
  <c r="H34" i="16" s="1"/>
  <c r="F26" i="16"/>
  <c r="F34" i="16" s="1"/>
  <c r="E58" i="16"/>
  <c r="F58" i="16"/>
  <c r="G58" i="16"/>
  <c r="H58" i="16"/>
  <c r="I58" i="16"/>
  <c r="D58" i="16"/>
  <c r="E26" i="16"/>
  <c r="E34" i="16" s="1"/>
  <c r="E53" i="16"/>
  <c r="F53" i="16"/>
  <c r="D53" i="16"/>
  <c r="E59" i="16" l="1"/>
  <c r="D26" i="16" l="1"/>
  <c r="G36" i="16"/>
  <c r="G37" i="16"/>
  <c r="G40" i="16"/>
  <c r="G41" i="16"/>
  <c r="G42" i="16"/>
  <c r="G43" i="16"/>
  <c r="G39" i="16"/>
  <c r="G44" i="16"/>
  <c r="G45" i="16"/>
  <c r="G46" i="16"/>
  <c r="G47" i="16"/>
  <c r="G48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16" i="16"/>
  <c r="H22" i="20"/>
  <c r="G22" i="20" s="1"/>
  <c r="E39" i="20"/>
  <c r="F39" i="20"/>
  <c r="H39" i="20"/>
  <c r="D39" i="20"/>
  <c r="E46" i="20"/>
  <c r="F46" i="20"/>
  <c r="D46" i="20"/>
  <c r="G16" i="20"/>
  <c r="G17" i="20"/>
  <c r="G18" i="20"/>
  <c r="G19" i="20"/>
  <c r="G20" i="20"/>
  <c r="G21" i="20"/>
  <c r="G23" i="20"/>
  <c r="G24" i="20"/>
  <c r="G25" i="20"/>
  <c r="G26" i="20"/>
  <c r="G27" i="20"/>
  <c r="G28" i="20"/>
  <c r="G15" i="20"/>
  <c r="G31" i="20"/>
  <c r="G32" i="20"/>
  <c r="G35" i="20"/>
  <c r="G36" i="20"/>
  <c r="G37" i="20"/>
  <c r="G38" i="20"/>
  <c r="G34" i="20"/>
  <c r="G33" i="20"/>
  <c r="F29" i="20"/>
  <c r="E22" i="20"/>
  <c r="E29" i="20" s="1"/>
  <c r="D22" i="20"/>
  <c r="E23" i="10"/>
  <c r="D23" i="10"/>
  <c r="E23" i="13"/>
  <c r="D23" i="13"/>
  <c r="E23" i="9"/>
  <c r="G23" i="8"/>
  <c r="E23" i="8"/>
  <c r="D23" i="8"/>
  <c r="G34" i="16" l="1"/>
  <c r="F47" i="20"/>
  <c r="G39" i="20"/>
  <c r="H29" i="20"/>
  <c r="E47" i="20"/>
  <c r="G29" i="20"/>
  <c r="H47" i="20" l="1"/>
  <c r="G24" i="1" l="1"/>
  <c r="E24" i="1"/>
  <c r="D24" i="1"/>
  <c r="G23" i="12"/>
  <c r="E23" i="12"/>
  <c r="D23" i="12"/>
  <c r="H23" i="7"/>
  <c r="G23" i="7" s="1"/>
  <c r="G17" i="7"/>
  <c r="G18" i="7"/>
  <c r="G19" i="7"/>
  <c r="G20" i="7"/>
  <c r="G21" i="7"/>
  <c r="G22" i="7"/>
  <c r="G24" i="7"/>
  <c r="G25" i="7"/>
  <c r="G26" i="7"/>
  <c r="G27" i="7"/>
  <c r="G28" i="7"/>
  <c r="G29" i="7"/>
  <c r="G16" i="7"/>
  <c r="H23" i="11" l="1"/>
  <c r="E23" i="11"/>
  <c r="D23" i="11"/>
  <c r="F30" i="7"/>
  <c r="G30" i="7"/>
  <c r="H30" i="7"/>
  <c r="D23" i="7"/>
  <c r="E23" i="7"/>
  <c r="E30" i="7" s="1"/>
  <c r="E51" i="7"/>
  <c r="F51" i="7"/>
  <c r="H51" i="7"/>
  <c r="E45" i="7"/>
  <c r="D45" i="7"/>
  <c r="E52" i="7" l="1"/>
  <c r="E43" i="11"/>
  <c r="F43" i="11"/>
  <c r="H43" i="11"/>
  <c r="D43" i="11"/>
  <c r="E31" i="11"/>
  <c r="F31" i="11"/>
  <c r="H31" i="11"/>
  <c r="G17" i="11"/>
  <c r="G18" i="11"/>
  <c r="G19" i="11"/>
  <c r="G20" i="11"/>
  <c r="G21" i="11"/>
  <c r="G24" i="11"/>
  <c r="G23" i="11"/>
  <c r="G25" i="11"/>
  <c r="G26" i="11"/>
  <c r="G27" i="11"/>
  <c r="G28" i="11"/>
  <c r="G30" i="11"/>
  <c r="G29" i="11"/>
  <c r="G16" i="11"/>
  <c r="E51" i="11" l="1"/>
  <c r="H51" i="11"/>
  <c r="F51" i="11"/>
  <c r="G31" i="11"/>
  <c r="G46" i="12"/>
  <c r="G45" i="12"/>
  <c r="G41" i="12"/>
  <c r="G40" i="12"/>
  <c r="G39" i="12"/>
  <c r="G38" i="12"/>
  <c r="G37" i="12"/>
  <c r="G36" i="12"/>
  <c r="G35" i="12"/>
  <c r="G34" i="12"/>
  <c r="G33" i="12"/>
  <c r="G17" i="12"/>
  <c r="G18" i="12"/>
  <c r="G19" i="12"/>
  <c r="G20" i="12"/>
  <c r="G21" i="12"/>
  <c r="G22" i="12"/>
  <c r="G24" i="12"/>
  <c r="G25" i="12"/>
  <c r="G26" i="12"/>
  <c r="G27" i="12"/>
  <c r="G28" i="12"/>
  <c r="G30" i="12"/>
  <c r="G29" i="12"/>
  <c r="G16" i="12"/>
  <c r="F42" i="12"/>
  <c r="H42" i="12"/>
  <c r="E31" i="12"/>
  <c r="F31" i="12"/>
  <c r="H31" i="12"/>
  <c r="G47" i="12" l="1"/>
  <c r="H48" i="12"/>
  <c r="F48" i="12"/>
  <c r="G42" i="12"/>
  <c r="G31" i="12"/>
  <c r="D42" i="12"/>
  <c r="E36" i="12"/>
  <c r="E42" i="12" s="1"/>
  <c r="E48" i="12" s="1"/>
  <c r="E40" i="10"/>
  <c r="F40" i="10"/>
  <c r="H40" i="10"/>
  <c r="D40" i="10"/>
  <c r="E30" i="10"/>
  <c r="E46" i="10" s="1"/>
  <c r="G33" i="13" l="1"/>
  <c r="G34" i="13"/>
  <c r="G35" i="13"/>
  <c r="G36" i="13"/>
  <c r="G37" i="13"/>
  <c r="G38" i="13"/>
  <c r="G39" i="13"/>
  <c r="G40" i="13"/>
  <c r="G32" i="13"/>
  <c r="E41" i="13"/>
  <c r="E30" i="13"/>
  <c r="F30" i="13"/>
  <c r="H30" i="13"/>
  <c r="H41" i="13"/>
  <c r="D41" i="13"/>
  <c r="G22" i="9"/>
  <c r="E30" i="9"/>
  <c r="F30" i="9"/>
  <c r="F44" i="9" s="1"/>
  <c r="H30" i="9"/>
  <c r="G41" i="13" l="1"/>
  <c r="E47" i="13"/>
  <c r="H47" i="13"/>
  <c r="F47" i="13"/>
  <c r="E38" i="9"/>
  <c r="D38" i="9"/>
  <c r="H47" i="8" l="1"/>
  <c r="G38" i="8"/>
  <c r="E44" i="9" l="1"/>
  <c r="H44" i="9"/>
  <c r="G16" i="9"/>
  <c r="G17" i="9"/>
  <c r="G18" i="9"/>
  <c r="G19" i="9"/>
  <c r="G20" i="9"/>
  <c r="G21" i="9"/>
  <c r="G24" i="9"/>
  <c r="G23" i="9"/>
  <c r="G25" i="9"/>
  <c r="G26" i="9"/>
  <c r="G27" i="9"/>
  <c r="G28" i="9"/>
  <c r="G29" i="9"/>
  <c r="G30" i="9" l="1"/>
  <c r="G34" i="8" l="1"/>
  <c r="G35" i="8"/>
  <c r="G36" i="8"/>
  <c r="G37" i="8"/>
  <c r="G39" i="8"/>
  <c r="G40" i="8"/>
  <c r="G41" i="8"/>
  <c r="G42" i="8"/>
  <c r="G43" i="8"/>
  <c r="G44" i="8"/>
  <c r="G45" i="8"/>
  <c r="G46" i="8"/>
  <c r="G33" i="8"/>
  <c r="G17" i="8"/>
  <c r="G18" i="8"/>
  <c r="G19" i="8"/>
  <c r="G20" i="8"/>
  <c r="G21" i="8"/>
  <c r="G22" i="8"/>
  <c r="G24" i="8"/>
  <c r="G25" i="8"/>
  <c r="G26" i="8"/>
  <c r="G27" i="8"/>
  <c r="G28" i="8"/>
  <c r="G30" i="8"/>
  <c r="G29" i="8"/>
  <c r="G16" i="8"/>
  <c r="E31" i="8"/>
  <c r="G47" i="8" l="1"/>
  <c r="F47" i="8"/>
  <c r="F40" i="1" l="1"/>
  <c r="G40" i="1" s="1"/>
  <c r="E40" i="1"/>
  <c r="H52" i="1"/>
  <c r="G58" i="1"/>
  <c r="G57" i="1"/>
  <c r="G56" i="1"/>
  <c r="G54" i="1"/>
  <c r="G51" i="1"/>
  <c r="G50" i="1"/>
  <c r="G49" i="1"/>
  <c r="G48" i="1"/>
  <c r="G47" i="1"/>
  <c r="G42" i="1"/>
  <c r="G39" i="1"/>
  <c r="H32" i="1"/>
  <c r="H60" i="1" s="1"/>
  <c r="F32" i="1"/>
  <c r="G17" i="1"/>
  <c r="G18" i="1"/>
  <c r="G19" i="1"/>
  <c r="G20" i="1"/>
  <c r="G21" i="1"/>
  <c r="G22" i="1"/>
  <c r="G25" i="1"/>
  <c r="G26" i="1"/>
  <c r="G27" i="1"/>
  <c r="G28" i="1"/>
  <c r="G29" i="1"/>
  <c r="G31" i="1"/>
  <c r="G23" i="1"/>
  <c r="G30" i="1"/>
  <c r="G16" i="1"/>
  <c r="E52" i="1"/>
  <c r="E59" i="1"/>
  <c r="F59" i="1"/>
  <c r="F52" i="1"/>
  <c r="E37" i="8"/>
  <c r="E47" i="8" s="1"/>
  <c r="E32" i="1"/>
  <c r="E54" i="8" l="1"/>
  <c r="G59" i="1"/>
  <c r="G52" i="1"/>
  <c r="G32" i="1"/>
  <c r="F60" i="1"/>
  <c r="E60" i="1"/>
  <c r="D31" i="12" l="1"/>
  <c r="I29" i="42" l="1"/>
  <c r="I28" i="42"/>
  <c r="I27" i="42"/>
  <c r="I26" i="42"/>
  <c r="I25" i="42"/>
  <c r="I23" i="42"/>
  <c r="I24" i="42"/>
  <c r="I22" i="42"/>
  <c r="I21" i="42"/>
  <c r="I18" i="42"/>
  <c r="I17" i="42"/>
  <c r="I16" i="42"/>
  <c r="I30" i="42" s="1"/>
  <c r="I29" i="41"/>
  <c r="I28" i="41"/>
  <c r="I27" i="41"/>
  <c r="I26" i="41"/>
  <c r="I25" i="41"/>
  <c r="I23" i="41"/>
  <c r="I24" i="41"/>
  <c r="I22" i="41"/>
  <c r="I21" i="41"/>
  <c r="I20" i="41"/>
  <c r="I19" i="41"/>
  <c r="I18" i="41"/>
  <c r="I17" i="41"/>
  <c r="I16" i="41"/>
  <c r="I29" i="40"/>
  <c r="I28" i="40"/>
  <c r="I27" i="40"/>
  <c r="I26" i="40"/>
  <c r="I25" i="40"/>
  <c r="I23" i="40"/>
  <c r="I24" i="40"/>
  <c r="I22" i="40"/>
  <c r="I21" i="40"/>
  <c r="I20" i="40"/>
  <c r="I19" i="40"/>
  <c r="I18" i="40"/>
  <c r="I17" i="40"/>
  <c r="I16" i="40"/>
  <c r="I21" i="18"/>
  <c r="I28" i="18"/>
  <c r="I27" i="18"/>
  <c r="I26" i="18"/>
  <c r="I25" i="18"/>
  <c r="I24" i="18"/>
  <c r="I22" i="18"/>
  <c r="I23" i="18"/>
  <c r="I20" i="18"/>
  <c r="I19" i="18"/>
  <c r="I18" i="18"/>
  <c r="I17" i="18"/>
  <c r="I16" i="18"/>
  <c r="I15" i="18"/>
  <c r="I22" i="19"/>
  <c r="I29" i="19"/>
  <c r="I28" i="19"/>
  <c r="I27" i="19"/>
  <c r="I26" i="19"/>
  <c r="I25" i="19"/>
  <c r="I23" i="19"/>
  <c r="I24" i="19"/>
  <c r="I21" i="19"/>
  <c r="I20" i="19"/>
  <c r="I19" i="19"/>
  <c r="I18" i="19"/>
  <c r="I17" i="19"/>
  <c r="I16" i="19"/>
  <c r="I24" i="17"/>
  <c r="I22" i="17"/>
  <c r="I31" i="17"/>
  <c r="I30" i="17"/>
  <c r="I29" i="17"/>
  <c r="I28" i="17"/>
  <c r="I27" i="17"/>
  <c r="I25" i="17"/>
  <c r="I26" i="17"/>
  <c r="I23" i="17"/>
  <c r="I21" i="17"/>
  <c r="I20" i="17"/>
  <c r="I19" i="17"/>
  <c r="I18" i="17"/>
  <c r="I17" i="17"/>
  <c r="I16" i="17"/>
  <c r="I32" i="16"/>
  <c r="I25" i="16"/>
  <c r="I23" i="16"/>
  <c r="I22" i="16"/>
  <c r="I33" i="16"/>
  <c r="I31" i="16"/>
  <c r="I30" i="16"/>
  <c r="I29" i="16"/>
  <c r="I28" i="16"/>
  <c r="I26" i="16"/>
  <c r="I27" i="16"/>
  <c r="I24" i="16"/>
  <c r="I21" i="16"/>
  <c r="I20" i="16"/>
  <c r="I19" i="16"/>
  <c r="I18" i="16"/>
  <c r="I17" i="16"/>
  <c r="I16" i="16"/>
  <c r="I22" i="11"/>
  <c r="I22" i="12"/>
  <c r="I22" i="10"/>
  <c r="I22" i="13"/>
  <c r="I22" i="9"/>
  <c r="I22" i="8"/>
  <c r="I22" i="1"/>
  <c r="I22" i="7"/>
  <c r="I21" i="20"/>
  <c r="I23" i="20"/>
  <c r="I27" i="20"/>
  <c r="I26" i="20"/>
  <c r="I25" i="20"/>
  <c r="I24" i="20"/>
  <c r="I22" i="20"/>
  <c r="I30" i="41" l="1"/>
  <c r="I32" i="17"/>
  <c r="I30" i="19"/>
  <c r="I30" i="40"/>
  <c r="I49" i="40" s="1"/>
  <c r="I29" i="18"/>
  <c r="I34" i="16"/>
  <c r="I59" i="16" s="1"/>
  <c r="I20" i="20"/>
  <c r="I19" i="20"/>
  <c r="I18" i="20"/>
  <c r="I17" i="20"/>
  <c r="I16" i="20"/>
  <c r="I15" i="20"/>
  <c r="I26" i="7"/>
  <c r="I29" i="7"/>
  <c r="I28" i="7"/>
  <c r="I27" i="7"/>
  <c r="I25" i="7"/>
  <c r="I23" i="7"/>
  <c r="I24" i="7"/>
  <c r="I21" i="7"/>
  <c r="I29" i="20" l="1"/>
  <c r="I51" i="19"/>
  <c r="I50" i="17"/>
  <c r="I49" i="41"/>
  <c r="I20" i="7"/>
  <c r="I19" i="7"/>
  <c r="I18" i="7"/>
  <c r="I16" i="7"/>
  <c r="I29" i="11"/>
  <c r="I30" i="11"/>
  <c r="I28" i="11"/>
  <c r="I27" i="11"/>
  <c r="I26" i="11"/>
  <c r="I23" i="11"/>
  <c r="I24" i="11"/>
  <c r="I21" i="11"/>
  <c r="I20" i="11"/>
  <c r="I19" i="11"/>
  <c r="I18" i="11"/>
  <c r="I17" i="11"/>
  <c r="I25" i="11"/>
  <c r="I16" i="11" l="1"/>
  <c r="I31" i="11" s="1"/>
  <c r="I30" i="12"/>
  <c r="I28" i="12"/>
  <c r="I24" i="12"/>
  <c r="I20" i="12"/>
  <c r="I19" i="12"/>
  <c r="I27" i="12"/>
  <c r="I26" i="12"/>
  <c r="I25" i="12"/>
  <c r="I23" i="12"/>
  <c r="I21" i="12"/>
  <c r="I18" i="12"/>
  <c r="I17" i="12"/>
  <c r="I16" i="12"/>
  <c r="I27" i="10"/>
  <c r="I29" i="10"/>
  <c r="I28" i="10"/>
  <c r="I26" i="10"/>
  <c r="I25" i="10"/>
  <c r="I23" i="10"/>
  <c r="I24" i="10"/>
  <c r="I21" i="10"/>
  <c r="I20" i="10"/>
  <c r="I19" i="10"/>
  <c r="I18" i="10"/>
  <c r="I17" i="10"/>
  <c r="I16" i="10"/>
  <c r="I23" i="13"/>
  <c r="I29" i="13"/>
  <c r="I28" i="13"/>
  <c r="I27" i="13"/>
  <c r="I26" i="13"/>
  <c r="I25" i="13"/>
  <c r="I24" i="13"/>
  <c r="I21" i="13"/>
  <c r="I20" i="13"/>
  <c r="I19" i="13"/>
  <c r="I18" i="13"/>
  <c r="I17" i="13"/>
  <c r="I16" i="13"/>
  <c r="I29" i="9"/>
  <c r="I28" i="9"/>
  <c r="I27" i="9"/>
  <c r="I25" i="9"/>
  <c r="I26" i="9"/>
  <c r="I23" i="9"/>
  <c r="I24" i="9"/>
  <c r="I21" i="9"/>
  <c r="I20" i="9"/>
  <c r="I19" i="9"/>
  <c r="I18" i="9"/>
  <c r="I17" i="9"/>
  <c r="I16" i="9"/>
  <c r="I29" i="8"/>
  <c r="I30" i="8"/>
  <c r="I28" i="8"/>
  <c r="I27" i="8"/>
  <c r="I26" i="8"/>
  <c r="I23" i="8"/>
  <c r="I24" i="8"/>
  <c r="I25" i="8"/>
  <c r="I21" i="8"/>
  <c r="I20" i="8"/>
  <c r="I19" i="8"/>
  <c r="I18" i="8"/>
  <c r="I17" i="8"/>
  <c r="I16" i="8"/>
  <c r="I30" i="1"/>
  <c r="I23" i="1"/>
  <c r="I31" i="1"/>
  <c r="I28" i="1"/>
  <c r="I29" i="1"/>
  <c r="I27" i="1"/>
  <c r="I26" i="1"/>
  <c r="I16" i="1"/>
  <c r="I17" i="1"/>
  <c r="I18" i="1"/>
  <c r="I19" i="1"/>
  <c r="I20" i="1"/>
  <c r="I21" i="1"/>
  <c r="I25" i="1"/>
  <c r="I24" i="1"/>
  <c r="I32" i="1" l="1"/>
  <c r="I51" i="11"/>
  <c r="I31" i="12"/>
  <c r="I30" i="10"/>
  <c r="I60" i="1" l="1"/>
  <c r="I48" i="12"/>
  <c r="I46" i="10"/>
  <c r="G44" i="18" l="1"/>
  <c r="G47" i="18" s="1"/>
  <c r="G45" i="20"/>
  <c r="G46" i="20" s="1"/>
  <c r="G47" i="20" s="1"/>
  <c r="G50" i="7"/>
  <c r="G47" i="7"/>
  <c r="G51" i="7" s="1"/>
  <c r="G39" i="42"/>
  <c r="G41" i="42"/>
  <c r="G40" i="42"/>
  <c r="G32" i="42"/>
  <c r="G34" i="42"/>
  <c r="G37" i="41"/>
  <c r="G41" i="41"/>
  <c r="G39" i="41"/>
  <c r="G32" i="41"/>
  <c r="G34" i="41"/>
  <c r="G32" i="39"/>
  <c r="G39" i="18"/>
  <c r="G37" i="18"/>
  <c r="G36" i="18"/>
  <c r="G32" i="18"/>
  <c r="G31" i="18"/>
  <c r="G33" i="18"/>
  <c r="G33" i="19"/>
  <c r="G32" i="19"/>
  <c r="G34" i="19"/>
  <c r="G35" i="17"/>
  <c r="G34" i="17"/>
  <c r="G36" i="17"/>
  <c r="G38" i="16"/>
  <c r="G53" i="16" s="1"/>
  <c r="G43" i="7"/>
  <c r="G44" i="7"/>
  <c r="G35" i="7"/>
  <c r="G40" i="7"/>
  <c r="G39" i="7"/>
  <c r="G37" i="7"/>
  <c r="G33" i="7"/>
  <c r="G32" i="7"/>
  <c r="G45" i="7" s="1"/>
  <c r="G52" i="7" s="1"/>
  <c r="G34" i="7"/>
  <c r="G42" i="41" l="1"/>
  <c r="G49" i="41" s="1"/>
  <c r="G42" i="42"/>
  <c r="G49" i="42" s="1"/>
  <c r="G41" i="18"/>
  <c r="G45" i="19"/>
  <c r="G51" i="19" s="1"/>
  <c r="G44" i="17"/>
  <c r="G50" i="17" s="1"/>
  <c r="H30" i="39" l="1"/>
  <c r="H46" i="39" s="1"/>
  <c r="G29" i="39"/>
  <c r="G59" i="16"/>
  <c r="H52" i="7"/>
  <c r="F52" i="7"/>
  <c r="H30" i="10"/>
  <c r="H46" i="10" s="1"/>
  <c r="F30" i="10"/>
  <c r="F46" i="10" s="1"/>
  <c r="G29" i="10"/>
  <c r="G28" i="10"/>
  <c r="G27" i="10"/>
  <c r="G26" i="10"/>
  <c r="G25" i="10"/>
  <c r="G23" i="10"/>
  <c r="G24" i="10"/>
  <c r="G22" i="10"/>
  <c r="G21" i="10"/>
  <c r="G20" i="10"/>
  <c r="G19" i="10"/>
  <c r="G18" i="10"/>
  <c r="G17" i="10"/>
  <c r="G16" i="10"/>
  <c r="G29" i="13"/>
  <c r="G28" i="13"/>
  <c r="G27" i="13"/>
  <c r="G26" i="13"/>
  <c r="G25" i="13"/>
  <c r="G23" i="13"/>
  <c r="G24" i="13"/>
  <c r="G22" i="13"/>
  <c r="G21" i="13"/>
  <c r="G20" i="13"/>
  <c r="G19" i="13"/>
  <c r="G18" i="13"/>
  <c r="G17" i="13"/>
  <c r="G16" i="13"/>
  <c r="H31" i="8"/>
  <c r="H54" i="8" s="1"/>
  <c r="F31" i="8"/>
  <c r="G30" i="13" l="1"/>
  <c r="F54" i="8"/>
  <c r="F59" i="16"/>
  <c r="H59" i="16"/>
  <c r="G47" i="13"/>
  <c r="G30" i="10"/>
  <c r="G30" i="39"/>
  <c r="G31" i="8"/>
  <c r="G54" i="8" s="1"/>
  <c r="G48" i="18"/>
  <c r="G49" i="40"/>
  <c r="G33" i="11"/>
  <c r="G34" i="11"/>
  <c r="G36" i="11"/>
  <c r="G39" i="11"/>
  <c r="G40" i="11"/>
  <c r="G41" i="11"/>
  <c r="G38" i="11"/>
  <c r="G42" i="11"/>
  <c r="G35" i="11"/>
  <c r="G32" i="10"/>
  <c r="G33" i="10"/>
  <c r="G36" i="10"/>
  <c r="G38" i="10"/>
  <c r="G39" i="10"/>
  <c r="G34" i="10"/>
  <c r="G32" i="9"/>
  <c r="G60" i="4"/>
  <c r="G61" i="4"/>
  <c r="G62" i="4"/>
  <c r="G59" i="4"/>
  <c r="G18" i="4"/>
  <c r="G19" i="4"/>
  <c r="G20" i="4"/>
  <c r="G21" i="4"/>
  <c r="G22" i="4"/>
  <c r="G42" i="4"/>
  <c r="G23" i="4"/>
  <c r="G24" i="4"/>
  <c r="G25" i="4"/>
  <c r="G26" i="4"/>
  <c r="G27" i="4"/>
  <c r="G28" i="4"/>
  <c r="G29" i="4"/>
  <c r="G30" i="4"/>
  <c r="G31" i="4"/>
  <c r="G32" i="4"/>
  <c r="G33" i="4"/>
  <c r="G34" i="4"/>
  <c r="G36" i="4"/>
  <c r="G37" i="4"/>
  <c r="G38" i="4"/>
  <c r="G44" i="4"/>
  <c r="G45" i="4"/>
  <c r="G46" i="4"/>
  <c r="G47" i="4"/>
  <c r="G49" i="4"/>
  <c r="G50" i="4"/>
  <c r="G51" i="4"/>
  <c r="G52" i="4"/>
  <c r="G53" i="4"/>
  <c r="G54" i="4"/>
  <c r="G55" i="4"/>
  <c r="G56" i="4"/>
  <c r="G57" i="4"/>
  <c r="G73" i="4" l="1"/>
  <c r="G38" i="9"/>
  <c r="G44" i="9" s="1"/>
  <c r="G77" i="4"/>
  <c r="G43" i="11"/>
  <c r="G51" i="11" s="1"/>
  <c r="G40" i="10"/>
  <c r="G46" i="10" s="1"/>
  <c r="I49" i="42" l="1"/>
  <c r="D31" i="8" l="1"/>
  <c r="D32" i="1"/>
  <c r="D54" i="8" l="1"/>
  <c r="D30" i="9"/>
  <c r="D44" i="9" s="1"/>
  <c r="I48" i="18" l="1"/>
  <c r="D30" i="42" l="1"/>
  <c r="D49" i="42" s="1"/>
  <c r="D30" i="41"/>
  <c r="D49" i="41" s="1"/>
  <c r="H49" i="40"/>
  <c r="D30" i="40"/>
  <c r="G40" i="39"/>
  <c r="G46" i="39" s="1"/>
  <c r="I30" i="39"/>
  <c r="F30" i="39"/>
  <c r="F46" i="39" s="1"/>
  <c r="D30" i="39"/>
  <c r="D46" i="39" s="1"/>
  <c r="F48" i="18"/>
  <c r="G48" i="12"/>
  <c r="I46" i="39" l="1"/>
  <c r="D34" i="16"/>
  <c r="F49" i="40"/>
  <c r="D49" i="40"/>
  <c r="D59" i="16" l="1"/>
  <c r="I31" i="8" l="1"/>
  <c r="G64" i="1"/>
  <c r="I54" i="8" l="1"/>
  <c r="D58" i="1"/>
  <c r="D59" i="1" l="1"/>
  <c r="D60" i="1" s="1"/>
  <c r="G60" i="1" l="1"/>
  <c r="D30" i="19" l="1"/>
  <c r="D30" i="10"/>
  <c r="D46" i="10" s="1"/>
  <c r="D29" i="20"/>
  <c r="D30" i="7"/>
  <c r="D52" i="7" s="1"/>
  <c r="D31" i="11"/>
  <c r="D51" i="11" s="1"/>
  <c r="D29" i="18"/>
  <c r="D48" i="18" s="1"/>
  <c r="D30" i="13"/>
  <c r="D47" i="13" s="1"/>
  <c r="D51" i="19" l="1"/>
  <c r="D47" i="20"/>
  <c r="I30" i="9"/>
  <c r="I30" i="13"/>
  <c r="I30" i="7"/>
  <c r="I52" i="7" l="1"/>
  <c r="I44" i="9"/>
  <c r="I47" i="20"/>
  <c r="I47" i="13"/>
  <c r="I47" i="9" l="1"/>
  <c r="D50" i="17" l="1"/>
  <c r="D48" i="12"/>
  <c r="H48" i="18" l="1"/>
</calcChain>
</file>

<file path=xl/comments1.xml><?xml version="1.0" encoding="utf-8"?>
<comments xmlns="http://schemas.openxmlformats.org/spreadsheetml/2006/main">
  <authors>
    <author>user</author>
  </authors>
  <commentList>
    <comment ref="C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mooe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office equipment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G4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 and maint. - m and e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5-02-03-040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subsidies-others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supplies and materials exp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agr. And marine supplies exp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5-02-03-100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environment/sanitary services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supplies and materials exp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environment/sanitary services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supplies and materials exp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environment/sanitary services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member dues and contributions to org.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food supplies exp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food supplies exp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subsidy to ngas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membership dues and contrib to org.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membership dues and contrib to org.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subsidies-others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subsidies-others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donations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donations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donations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professional services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C/O MHO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professional services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C/O MHO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insurance exp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transfers for project equity/lgu counterpart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subsidies-others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medical, dental, and laboratory supplies exp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professional services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donations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subsidies-others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subsidies-others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membership dues and contributions to org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other gen services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FROM GAD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printing and publication exp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printing and publication exp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membership dues and contributions to org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membership dues and contributions to org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ASK LENIE
RENT EXP-
SUBSCRIPTION
OTHER PROF SER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C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ASK LENIE
RENT EXP-
SUBSCRIPTION
OTHER PROF SER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subsidies - others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donations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donations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 AND MAINT. LAND IMPROVEMENTS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ASK LENIE
RENT EXP-
SUBSCRIPTION
OTHER PROF SER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Counterpart to KALAHI NCDDP
</t>
        </r>
      </text>
    </comment>
  </commentList>
</comments>
</file>

<file path=xl/sharedStrings.xml><?xml version="1.0" encoding="utf-8"?>
<sst xmlns="http://schemas.openxmlformats.org/spreadsheetml/2006/main" count="2749" uniqueCount="847">
  <si>
    <t>Object of Expenditure</t>
  </si>
  <si>
    <t>Account Code</t>
  </si>
  <si>
    <t>Past Year</t>
  </si>
  <si>
    <t>Budget Year</t>
  </si>
  <si>
    <t>(Actual)</t>
  </si>
  <si>
    <t>Total</t>
  </si>
  <si>
    <t>(Proposed)</t>
  </si>
  <si>
    <t>(Estimate)</t>
  </si>
  <si>
    <t>Current Year (Estimate)</t>
  </si>
  <si>
    <t>LBP Form No. 2</t>
  </si>
  <si>
    <t>PROGRAMMED APPROPRIATION AND OBLIGATION BY OBJECT OF EXPENDITURE</t>
  </si>
  <si>
    <t>Personal Services</t>
  </si>
  <si>
    <t>Financial Expenses</t>
  </si>
  <si>
    <t>Capital Outlays</t>
  </si>
  <si>
    <t>Maintenance and Other Operating Expenses</t>
  </si>
  <si>
    <t xml:space="preserve">       TOTAL MAINT. &amp; OPTG. EXP.</t>
  </si>
  <si>
    <t xml:space="preserve">       Livelihood Assistance in swine</t>
  </si>
  <si>
    <t xml:space="preserve">           production (Production / dispersal)</t>
  </si>
  <si>
    <t xml:space="preserve">       Livelihood assistance in goat</t>
  </si>
  <si>
    <t xml:space="preserve">          (production (Production / dispersal)</t>
  </si>
  <si>
    <t>TOTAL APPROPRIATIONS</t>
  </si>
  <si>
    <t>TOTAL</t>
  </si>
  <si>
    <t>Prepared by:</t>
  </si>
  <si>
    <t>Reviewed by:</t>
  </si>
  <si>
    <t>Approved by:</t>
  </si>
  <si>
    <t>Project/Activity: Implementation &amp; Supervision</t>
  </si>
  <si>
    <t>Capital Outlay</t>
  </si>
  <si>
    <t>Annex C</t>
  </si>
  <si>
    <t>First Semester     (Jan.-June)</t>
  </si>
  <si>
    <t>Second Semester    (July-Dec.)</t>
  </si>
  <si>
    <t>Second Semester      (July-Dec.)</t>
  </si>
  <si>
    <t>First Semester    (Jan.-June)</t>
  </si>
  <si>
    <t>Second Semester     (July-Dec.)</t>
  </si>
  <si>
    <t>First Semester        (Jan.-June)</t>
  </si>
  <si>
    <t>Second Semester       (July-Dec.)</t>
  </si>
  <si>
    <t>First Semester  (Jan.-June)</t>
  </si>
  <si>
    <t>Second Semester          (July-Dec.)</t>
  </si>
  <si>
    <t>First Semester (Jan.-June)</t>
  </si>
  <si>
    <t>Second Semester                        (July-Dec.)</t>
  </si>
  <si>
    <t>First   Semester              (Jan.-June)</t>
  </si>
  <si>
    <t>First Semester      (Jan.-June)</t>
  </si>
  <si>
    <t>Second Semester         (July-Dec.)</t>
  </si>
  <si>
    <t>First     Semester   (Jan.-June)</t>
  </si>
  <si>
    <t>First       Semester       (Jan.-June)</t>
  </si>
  <si>
    <t>First          Semester      (Jan.-June)</t>
  </si>
  <si>
    <t>Second Semester           (July-Dec.)</t>
  </si>
  <si>
    <t>First           Semester        (Jan.-June)</t>
  </si>
  <si>
    <t>LGU: PILAR, Bohol</t>
  </si>
  <si>
    <t xml:space="preserve"> LGU: PILAR, Bohol</t>
  </si>
  <si>
    <t>LGU:PILAR, Bohol</t>
  </si>
  <si>
    <t>JOSEPH R. ANANIA</t>
  </si>
  <si>
    <t>ELAINE E. RESUSTA</t>
  </si>
  <si>
    <t>FORTUNATO C. CORCIEGA</t>
  </si>
  <si>
    <t>SONIA L. BALDERO</t>
  </si>
  <si>
    <t>MA. LUISA B. TAGO</t>
  </si>
  <si>
    <t>CARMEN C. CUBRADO</t>
  </si>
  <si>
    <t>DIOSDADO C. BALILI</t>
  </si>
  <si>
    <t>Function            : Environmental and Natural Resource Management</t>
  </si>
  <si>
    <t>RAYMUND B. ANANIA</t>
  </si>
  <si>
    <t xml:space="preserve">Project/Activity: </t>
  </si>
  <si>
    <t>Function            :   General Services</t>
  </si>
  <si>
    <t>Other Services</t>
  </si>
  <si>
    <t xml:space="preserve">EUGENIO B. DATAHAN II  </t>
  </si>
  <si>
    <t xml:space="preserve">    Department Head</t>
  </si>
  <si>
    <t xml:space="preserve"> Municipal Budget Officer</t>
  </si>
  <si>
    <t>EDWIN S. SARDIDO</t>
  </si>
  <si>
    <t>LCPC</t>
  </si>
  <si>
    <t xml:space="preserve">      Municipal Mayor</t>
  </si>
  <si>
    <t>TOTAL MAINT. &amp; OPTG. EXP.</t>
  </si>
  <si>
    <t xml:space="preserve"> TOTAL CAPITAL OUTLAY</t>
  </si>
  <si>
    <t xml:space="preserve"> TOTAL MAINT. &amp; OPTG. EXP.</t>
  </si>
  <si>
    <t>TOTAL PERSONAL SERVICES</t>
  </si>
  <si>
    <t>TOTAL CAPITAL OUTLAY</t>
  </si>
  <si>
    <t>5-01-01-010</t>
  </si>
  <si>
    <t>5-01-02-010</t>
  </si>
  <si>
    <t>5-01-02-020</t>
  </si>
  <si>
    <t>5-01-02-030</t>
  </si>
  <si>
    <t>5-01-02-040</t>
  </si>
  <si>
    <t>5-01-02-080</t>
  </si>
  <si>
    <t>5-01-02-150</t>
  </si>
  <si>
    <t>5-01-02-140</t>
  </si>
  <si>
    <t>5-01-03-010</t>
  </si>
  <si>
    <t>5-01-03-020</t>
  </si>
  <si>
    <t>5-01-03-030</t>
  </si>
  <si>
    <t>5-01-03-040</t>
  </si>
  <si>
    <t>5-01-04-990</t>
  </si>
  <si>
    <t>5-01-01-020</t>
  </si>
  <si>
    <t>5-01-04-030</t>
  </si>
  <si>
    <t>5-01-02-120</t>
  </si>
  <si>
    <t>5-01-02-050</t>
  </si>
  <si>
    <t>5-01-02-060</t>
  </si>
  <si>
    <t>5-01-02-110</t>
  </si>
  <si>
    <t>5-02-01-010</t>
  </si>
  <si>
    <t>5-02-02-010</t>
  </si>
  <si>
    <t>5-02-03-010</t>
  </si>
  <si>
    <t>5-02-05-020</t>
  </si>
  <si>
    <t>5-02-12-990</t>
  </si>
  <si>
    <t>5-02-99-990</t>
  </si>
  <si>
    <t>5-02-03-090</t>
  </si>
  <si>
    <t>5-02-13-050</t>
  </si>
  <si>
    <t>5-02-10-030</t>
  </si>
  <si>
    <t>5-02-16-020</t>
  </si>
  <si>
    <t>5-02-99-020</t>
  </si>
  <si>
    <t>5-02-99-060</t>
  </si>
  <si>
    <t>5-02-03-020</t>
  </si>
  <si>
    <t>2018 Budget</t>
  </si>
  <si>
    <t>5-02-99-030</t>
  </si>
  <si>
    <t>1-07-07-010</t>
  </si>
  <si>
    <t>1-07-05-030</t>
  </si>
  <si>
    <t>1-07-06-010</t>
  </si>
  <si>
    <t>1-07-05-020</t>
  </si>
  <si>
    <t>CARLOS D. CAGAPE</t>
  </si>
  <si>
    <t>Function                :     Legislative Services</t>
  </si>
  <si>
    <t>Project/Activity     :     Legislative</t>
  </si>
  <si>
    <t>Office                 :      Municipal Mayor</t>
  </si>
  <si>
    <t>Function             :     Direct, Controls, Supervise and Manage all LGU Affairs.</t>
  </si>
  <si>
    <t>Project/Activity  :     Implementing &amp; Supervision</t>
  </si>
  <si>
    <t>EUGENIO B. DATAHAN II</t>
  </si>
  <si>
    <t>5-02-05-030</t>
  </si>
  <si>
    <t>Office                    :     SB - Secretariat</t>
  </si>
  <si>
    <t>Function                :     Attains SB Activities</t>
  </si>
  <si>
    <t>GUALBERTO B. JASPE</t>
  </si>
  <si>
    <t>5-02-99-010</t>
  </si>
  <si>
    <t>Function               :     Formulates Plans and Programs of the LGU.</t>
  </si>
  <si>
    <t>Project/Activity    :     Executive Services</t>
  </si>
  <si>
    <t>Function               :     Civil Registration</t>
  </si>
  <si>
    <t>Project/Activity    :     General Administration</t>
  </si>
  <si>
    <t>MILLAN B. ESPUELAS</t>
  </si>
  <si>
    <t>5-02-11-990</t>
  </si>
  <si>
    <r>
      <t xml:space="preserve">Office                      :     </t>
    </r>
    <r>
      <rPr>
        <b/>
        <sz val="12"/>
        <rFont val="Calibri"/>
        <family val="2"/>
        <scheme val="minor"/>
      </rPr>
      <t>Municipal Budget Officer</t>
    </r>
  </si>
  <si>
    <t>Function                  :     Implementing arm of the LGU on budget administration services.</t>
  </si>
  <si>
    <t>Project/Activity       :     General Administration</t>
  </si>
  <si>
    <t>Function               :     Accounting Services and Internal Audit Services.</t>
  </si>
  <si>
    <t>1-07-04-010</t>
  </si>
  <si>
    <t>5-02-11-020</t>
  </si>
  <si>
    <r>
      <t>JEAN J. DELA PE</t>
    </r>
    <r>
      <rPr>
        <b/>
        <sz val="11"/>
        <color theme="1"/>
        <rFont val="Calibri"/>
        <family val="2"/>
      </rPr>
      <t>ÑA</t>
    </r>
  </si>
  <si>
    <t>Function               :     Collection &amp; Disbursements</t>
  </si>
  <si>
    <t>5-02-13-060</t>
  </si>
  <si>
    <t>Function             :     Tax Mapping and Assessment.</t>
  </si>
  <si>
    <t>Project/Activity  :     General Administration</t>
  </si>
  <si>
    <t>5-02-03-070</t>
  </si>
  <si>
    <t>5-02-99-080</t>
  </si>
  <si>
    <t>5-02-14-030</t>
  </si>
  <si>
    <t>Function              :     Health Services</t>
  </si>
  <si>
    <t>Project/Activity   :     General Administration</t>
  </si>
  <si>
    <t>Function              :     Social  Enhancement Services</t>
  </si>
  <si>
    <r>
      <rPr>
        <sz val="12"/>
        <color theme="1"/>
        <rFont val="Calibri"/>
        <family val="2"/>
        <scheme val="minor"/>
      </rPr>
      <t xml:space="preserve">Office                  :     </t>
    </r>
    <r>
      <rPr>
        <b/>
        <sz val="12"/>
        <color theme="1"/>
        <rFont val="Calibri"/>
        <family val="2"/>
        <scheme val="minor"/>
      </rPr>
      <t>Municipal Social Welfare Development Officer</t>
    </r>
  </si>
  <si>
    <t>Office                   :     Municipal Planning &amp; Development Coordinator</t>
  </si>
  <si>
    <r>
      <t xml:space="preserve">Office                   :     </t>
    </r>
    <r>
      <rPr>
        <b/>
        <sz val="12"/>
        <color theme="1"/>
        <rFont val="Calibri"/>
        <family val="2"/>
        <scheme val="minor"/>
      </rPr>
      <t>Municipal Accountant</t>
    </r>
  </si>
  <si>
    <r>
      <t xml:space="preserve">Office                   :     </t>
    </r>
    <r>
      <rPr>
        <b/>
        <sz val="12"/>
        <rFont val="Calibri"/>
        <family val="2"/>
        <scheme val="minor"/>
      </rPr>
      <t>Municipal Treasurer</t>
    </r>
  </si>
  <si>
    <r>
      <rPr>
        <sz val="12"/>
        <rFont val="Calibri"/>
        <family val="2"/>
        <scheme val="minor"/>
      </rPr>
      <t xml:space="preserve">Office                 :     </t>
    </r>
    <r>
      <rPr>
        <b/>
        <sz val="12"/>
        <rFont val="Calibri"/>
        <family val="2"/>
        <scheme val="minor"/>
      </rPr>
      <t>Municipal Assessor</t>
    </r>
  </si>
  <si>
    <r>
      <t xml:space="preserve">Office                  :     </t>
    </r>
    <r>
      <rPr>
        <b/>
        <sz val="12"/>
        <rFont val="Calibri"/>
        <family val="2"/>
        <scheme val="minor"/>
      </rPr>
      <t>Municipal Health Officer</t>
    </r>
  </si>
  <si>
    <t>ESTRELLA S. MALNEGRO</t>
  </si>
  <si>
    <t>Function              :     Agricultural Services</t>
  </si>
  <si>
    <r>
      <rPr>
        <sz val="12"/>
        <rFont val="Calibri"/>
        <family val="2"/>
        <scheme val="minor"/>
      </rPr>
      <t xml:space="preserve">Office                  :     </t>
    </r>
    <r>
      <rPr>
        <b/>
        <sz val="12"/>
        <rFont val="Calibri"/>
        <family val="2"/>
        <scheme val="minor"/>
      </rPr>
      <t>Municipal Agriculturist</t>
    </r>
  </si>
  <si>
    <r>
      <rPr>
        <sz val="12"/>
        <rFont val="Calibri"/>
        <family val="2"/>
        <scheme val="minor"/>
      </rPr>
      <t xml:space="preserve">Office                 :     </t>
    </r>
    <r>
      <rPr>
        <b/>
        <sz val="12"/>
        <rFont val="Calibri"/>
        <family val="2"/>
        <scheme val="minor"/>
      </rPr>
      <t>Municipal Engineer</t>
    </r>
  </si>
  <si>
    <t>Function             :     Engineering Services</t>
  </si>
  <si>
    <t>Project/Activity  :     Implementation &amp; Supervision</t>
  </si>
  <si>
    <t>5-02-13-020</t>
  </si>
  <si>
    <t>1-07-03-010</t>
  </si>
  <si>
    <r>
      <rPr>
        <sz val="11"/>
        <rFont val="Calibri"/>
        <family val="2"/>
        <scheme val="minor"/>
      </rPr>
      <t>Office                 :</t>
    </r>
    <r>
      <rPr>
        <b/>
        <sz val="11"/>
        <rFont val="Calibri"/>
        <family val="2"/>
        <scheme val="minor"/>
      </rPr>
      <t xml:space="preserve"> Mun. Envi. And Natural Resource  Office</t>
    </r>
  </si>
  <si>
    <r>
      <rPr>
        <sz val="12"/>
        <rFont val="Calibri"/>
        <family val="2"/>
        <scheme val="minor"/>
      </rPr>
      <t>Office                 :</t>
    </r>
    <r>
      <rPr>
        <b/>
        <sz val="12"/>
        <rFont val="Calibri"/>
        <family val="2"/>
        <scheme val="minor"/>
      </rPr>
      <t xml:space="preserve"> Local Disaster Risk Reduction Management Office</t>
    </r>
  </si>
  <si>
    <t>5-02-04-020</t>
  </si>
  <si>
    <t>5-02-04-010</t>
  </si>
  <si>
    <r>
      <rPr>
        <sz val="12"/>
        <rFont val="Calibri"/>
        <family val="2"/>
        <scheme val="minor"/>
      </rPr>
      <t xml:space="preserve">Office                 :     </t>
    </r>
    <r>
      <rPr>
        <b/>
        <sz val="12"/>
        <rFont val="Calibri"/>
        <family val="2"/>
        <scheme val="minor"/>
      </rPr>
      <t>Market  Administration</t>
    </r>
  </si>
  <si>
    <t>Function             :     Economic Enterprise</t>
  </si>
  <si>
    <r>
      <rPr>
        <sz val="12"/>
        <rFont val="Calibri"/>
        <family val="2"/>
        <scheme val="minor"/>
      </rPr>
      <t xml:space="preserve">Office                 :     </t>
    </r>
    <r>
      <rPr>
        <b/>
        <sz val="12"/>
        <rFont val="Calibri"/>
        <family val="2"/>
        <scheme val="minor"/>
      </rPr>
      <t>PIWAS ADMINISTRATION</t>
    </r>
  </si>
  <si>
    <t>Function             :     ECONOMIC ENTERPRISE</t>
  </si>
  <si>
    <t xml:space="preserve">Project/Activity  : </t>
  </si>
  <si>
    <t>1-07-05-100</t>
  </si>
  <si>
    <t>Function              :     General Services</t>
  </si>
  <si>
    <t>5-02-14-020</t>
  </si>
  <si>
    <r>
      <rPr>
        <sz val="12"/>
        <color theme="1"/>
        <rFont val="Calibri"/>
        <family val="2"/>
        <scheme val="minor"/>
      </rPr>
      <t xml:space="preserve">Office                  :     </t>
    </r>
    <r>
      <rPr>
        <b/>
        <sz val="12"/>
        <color theme="1"/>
        <rFont val="Calibri"/>
        <family val="2"/>
        <scheme val="minor"/>
      </rPr>
      <t>Municipal Mayor - Miscellaneous (Non-Office)</t>
    </r>
  </si>
  <si>
    <t>Salaries and Wages - Mun./Brgy. Bookeeper</t>
  </si>
  <si>
    <t>Salaries and Wages - Peace and Order</t>
  </si>
  <si>
    <t>Salaries and Wages -  MVM Drivers &amp; Maintenance</t>
  </si>
  <si>
    <t>Subsistence-CAFGU, PNP&amp;BFP</t>
  </si>
  <si>
    <t>Publ./Advertising Exp/Mag. &amp; Newspaper Subs.</t>
  </si>
  <si>
    <t>MVM Spareparts</t>
  </si>
  <si>
    <t>Subsidy to NGA (DILG)</t>
  </si>
  <si>
    <t>Subsidy to NGA (MCTC)</t>
  </si>
  <si>
    <t>Subsidy to NGA (COA) [transferred to Acctg.)</t>
  </si>
  <si>
    <t>Subsidy to NGOs/Pos - Chaplaincy</t>
  </si>
  <si>
    <t>Aid to Barangay with high RPT Collections</t>
  </si>
  <si>
    <t>Aid to Anti-TB</t>
  </si>
  <si>
    <t>Annual Dues-LMP</t>
  </si>
  <si>
    <t>Traveling Expenses -PNP</t>
  </si>
  <si>
    <t>Traveling Expenses -BFP</t>
  </si>
  <si>
    <t xml:space="preserve"> Police Operation:</t>
  </si>
  <si>
    <t>Information Drive Awareness</t>
  </si>
  <si>
    <t>Training and Seminars- Tanod</t>
  </si>
  <si>
    <t>Training and Seminars- PNP (Markmanship)</t>
  </si>
  <si>
    <t>Office Supplies -BFP</t>
  </si>
  <si>
    <t>Office Supplies -PNP</t>
  </si>
  <si>
    <t>Confidential Fund</t>
  </si>
  <si>
    <t>Election Expense</t>
  </si>
  <si>
    <t>National Election</t>
  </si>
  <si>
    <t>Barangays Election</t>
  </si>
  <si>
    <t xml:space="preserve"> Office Supplies &amp; Equipment-Tourism</t>
  </si>
  <si>
    <t xml:space="preserve"> Training and Seminars-Tourism</t>
  </si>
  <si>
    <t xml:space="preserve"> Other Maint. &amp; Operating Expenses </t>
  </si>
  <si>
    <t>Special Event - Foundation Day</t>
  </si>
  <si>
    <t>Sports Development</t>
  </si>
  <si>
    <t>Support to BOHOLYMPICS Competition</t>
  </si>
  <si>
    <t>Assist SK Programs</t>
  </si>
  <si>
    <t>Peace and Order Program:</t>
  </si>
  <si>
    <t>Tourism Program:</t>
  </si>
  <si>
    <t>Repair and Rehab of PTVHS LOGOFIND Bldg.</t>
  </si>
  <si>
    <t>Honoraria to Panubig Festival Committee</t>
  </si>
  <si>
    <t>Honoraria to Foundation Day Committee</t>
  </si>
  <si>
    <t>Training and Seminars of BPATs/Tanods/BIN</t>
  </si>
  <si>
    <t>IT Equipment/Projector</t>
  </si>
  <si>
    <t>FS-Travel Allowance</t>
  </si>
  <si>
    <t xml:space="preserve"> Travelling Expenses-Tourism</t>
  </si>
  <si>
    <t>Repair and Maintenance - Transportation Equipment</t>
  </si>
  <si>
    <t>5-02-10-010</t>
  </si>
  <si>
    <t xml:space="preserve">Repair and Maintenance construction &amp; heavy Equipment </t>
  </si>
  <si>
    <t>Water Expenses</t>
  </si>
  <si>
    <t>Office                    :     VICE MAYOR AND SB</t>
  </si>
  <si>
    <t>Salaries and Wages- Regular</t>
  </si>
  <si>
    <t>Salaries and Wages- Casual/Contractual</t>
  </si>
  <si>
    <t>Personal Economic Relief Allowance (PERA)</t>
  </si>
  <si>
    <t>Clothing/Uniform Allowance</t>
  </si>
  <si>
    <t>Transportation Allowance (TA)</t>
  </si>
  <si>
    <t>Representation Allowance (RA)</t>
  </si>
  <si>
    <t>Productivity Incentive Allowance (PEI)</t>
  </si>
  <si>
    <t xml:space="preserve">Mid-Year and Year-End Bonus </t>
  </si>
  <si>
    <t>Cash Gift</t>
  </si>
  <si>
    <t>Retirement and Life Insurance Premiums</t>
  </si>
  <si>
    <t>Pag-IBIG Contributions</t>
  </si>
  <si>
    <t>Philhealth Contributions</t>
  </si>
  <si>
    <t>Employees Compensation Insurance Premiums</t>
  </si>
  <si>
    <t>Terminal Leave Benefits</t>
  </si>
  <si>
    <t>Other Personnel Benefits (Monetization)</t>
  </si>
  <si>
    <t>Traveling Expenses -Local</t>
  </si>
  <si>
    <t xml:space="preserve">Training Expenses </t>
  </si>
  <si>
    <t>Office Supplies Expenses</t>
  </si>
  <si>
    <t xml:space="preserve">Telephone Expenses - Mobile </t>
  </si>
  <si>
    <t xml:space="preserve">Internet Subscription Expenses </t>
  </si>
  <si>
    <t>Other General Services (Office Clerk)</t>
  </si>
  <si>
    <t>Repair and Maintenance - Machinery and Eqpt</t>
  </si>
  <si>
    <t>Computer Data Processing Services (ECPAC)</t>
  </si>
  <si>
    <t>Bids and Awards Expenses (Hon.)</t>
  </si>
  <si>
    <t>Office Equipment</t>
  </si>
  <si>
    <t>IT Equipment and Software</t>
  </si>
  <si>
    <t>Furniture and Fixtures</t>
  </si>
  <si>
    <r>
      <t xml:space="preserve">Office                   :     </t>
    </r>
    <r>
      <rPr>
        <b/>
        <sz val="12"/>
        <color theme="1"/>
        <rFont val="Calibri"/>
        <family val="2"/>
        <scheme val="minor"/>
      </rPr>
      <t>Municipal  Civil Registrar</t>
    </r>
  </si>
  <si>
    <t xml:space="preserve"> Salaries and Wages- School Workers/Guards (Aid to Pilar District)</t>
  </si>
  <si>
    <t>Civil Service Day (LGU Family Day)</t>
  </si>
  <si>
    <t>Salaries and Wages- ECD Workers</t>
  </si>
  <si>
    <t>Electricity Expenses</t>
  </si>
  <si>
    <t>Assistance to BHW's- Honorarium</t>
  </si>
  <si>
    <t>Municipal Signage</t>
  </si>
  <si>
    <t>Loyalty Benefits</t>
  </si>
  <si>
    <t>Extraordinary &amp; Miscellaneous Expenses</t>
  </si>
  <si>
    <t>Other General Services</t>
  </si>
  <si>
    <t>Fidelity Bond Premuims</t>
  </si>
  <si>
    <t>Representation Expenses</t>
  </si>
  <si>
    <t>Other  Services</t>
  </si>
  <si>
    <t>Other Maintenance and Operating Expenses</t>
  </si>
  <si>
    <r>
      <t xml:space="preserve">Traveling Expenses - Local - </t>
    </r>
    <r>
      <rPr>
        <b/>
        <i/>
        <sz val="11"/>
        <color theme="1"/>
        <rFont val="Calibri"/>
        <family val="2"/>
        <scheme val="minor"/>
      </rPr>
      <t>HRMO</t>
    </r>
  </si>
  <si>
    <r>
      <t xml:space="preserve">Training Expenses - </t>
    </r>
    <r>
      <rPr>
        <b/>
        <i/>
        <sz val="11"/>
        <color theme="1"/>
        <rFont val="Calibri"/>
        <family val="2"/>
        <scheme val="minor"/>
      </rPr>
      <t>HRMO</t>
    </r>
  </si>
  <si>
    <r>
      <t xml:space="preserve">Office Supplies Espenses - </t>
    </r>
    <r>
      <rPr>
        <b/>
        <i/>
        <sz val="11"/>
        <color theme="1"/>
        <rFont val="Calibri"/>
        <family val="2"/>
        <scheme val="minor"/>
      </rPr>
      <t>HRMO</t>
    </r>
  </si>
  <si>
    <r>
      <t xml:space="preserve">Other General Services - </t>
    </r>
    <r>
      <rPr>
        <b/>
        <i/>
        <sz val="11"/>
        <color theme="1"/>
        <rFont val="Calibri"/>
        <family val="2"/>
        <scheme val="minor"/>
      </rPr>
      <t>HRMO</t>
    </r>
  </si>
  <si>
    <t>Purchase of One Unit Aircondition</t>
  </si>
  <si>
    <t>Motor Vehicle/Executive Vehicle</t>
  </si>
  <si>
    <t>TOTAL CAPITAL OUTLAYS</t>
  </si>
  <si>
    <t>Project/Activity   :     Legislative</t>
  </si>
  <si>
    <t>Fuel, Oil and Lubricants Expenses</t>
  </si>
  <si>
    <t>General Services/Office Clerk</t>
  </si>
  <si>
    <t>Publication and  Reproduction  of New Codes</t>
  </si>
  <si>
    <t>Revision of Administrative and Revenue Code</t>
  </si>
  <si>
    <t>Annual Dues to VMLP</t>
  </si>
  <si>
    <t xml:space="preserve"> Annual Dues to PCL</t>
  </si>
  <si>
    <t>Motor Vehicle</t>
  </si>
  <si>
    <t>Freezer</t>
  </si>
  <si>
    <t>Waterworks Improvement</t>
  </si>
  <si>
    <t>Office Building Rehabilitation</t>
  </si>
  <si>
    <t>Completion of Open Court</t>
  </si>
  <si>
    <t>Support to CeC Programs</t>
  </si>
  <si>
    <t>Advertising Expenses</t>
  </si>
  <si>
    <t>Subsidy to NGA (COA)</t>
  </si>
  <si>
    <t>CCTV</t>
  </si>
  <si>
    <t>Repair and Maintenance - Transportation Eqpt</t>
  </si>
  <si>
    <t>5-02-14-990</t>
  </si>
  <si>
    <t>Subsistence Allowance</t>
  </si>
  <si>
    <t>Hazard Pay</t>
  </si>
  <si>
    <t>Accountable Forms Expenses</t>
  </si>
  <si>
    <t>Tax Campaign</t>
  </si>
  <si>
    <t xml:space="preserve">BPLO Programs </t>
  </si>
  <si>
    <t>Office Building</t>
  </si>
  <si>
    <t>Laundry Allowance</t>
  </si>
  <si>
    <t>Drugs and Medicines Expenses</t>
  </si>
  <si>
    <t>Medico Legal</t>
  </si>
  <si>
    <t>Special Services-RHU Extension (Midwives &amp; Clerk)</t>
  </si>
  <si>
    <t>Special Projects - BIARPS ( MedTech Wages)</t>
  </si>
  <si>
    <t>Assistance to BHW's -Honorarium</t>
  </si>
  <si>
    <t>Philhealth Management Program</t>
  </si>
  <si>
    <t>Contribution to Carmen Health District</t>
  </si>
  <si>
    <t>Operation Tuli</t>
  </si>
  <si>
    <t>Mass Blood Donation</t>
  </si>
  <si>
    <t>Special DSWD Programs / Projects (0SCA)</t>
  </si>
  <si>
    <t>Maintenance of Tennis Court</t>
  </si>
  <si>
    <t>Maintenance of Municipal Hall Building</t>
  </si>
  <si>
    <t>Rehabilitation of Municipal Hall</t>
  </si>
  <si>
    <t xml:space="preserve">Installation of CCTV in Poblacion Market </t>
  </si>
  <si>
    <t>Purchase of Furniture &amp; Fixtures</t>
  </si>
  <si>
    <t>Fuel, Oil &amp; Lubricants-MVM</t>
  </si>
  <si>
    <t>Office Building Rehab</t>
  </si>
  <si>
    <t>5-02-03-990</t>
  </si>
  <si>
    <t>Special Event-Panubig  Festival</t>
  </si>
  <si>
    <t>Fabrication of TENT</t>
  </si>
  <si>
    <t>1-07-05-990</t>
  </si>
  <si>
    <t>Aid to DCC</t>
  </si>
  <si>
    <t>Aid to ABTSP</t>
  </si>
  <si>
    <t>Aid to LIGA ng mga Barangay</t>
  </si>
  <si>
    <t>5-02-13-040</t>
  </si>
  <si>
    <t>General Public Services</t>
  </si>
  <si>
    <t>LBP Form No. 2a</t>
  </si>
  <si>
    <t>Annex E</t>
  </si>
  <si>
    <t>PROGRAMMED APPROPRIATION AND OBLIGATION FOR SPECIAL PURPOSE APPROPRIATIONS</t>
  </si>
  <si>
    <r>
      <t xml:space="preserve">Office                      :     </t>
    </r>
    <r>
      <rPr>
        <b/>
        <sz val="12"/>
        <rFont val="Calibri"/>
        <family val="2"/>
        <scheme val="minor"/>
      </rPr>
      <t>20% Development Fund</t>
    </r>
  </si>
  <si>
    <t>Function                  :     General Services</t>
  </si>
  <si>
    <t>AIP Reference Code</t>
  </si>
  <si>
    <t>Sector</t>
  </si>
  <si>
    <t>Program/Project/Activity</t>
  </si>
  <si>
    <t>2018 BUDGET</t>
  </si>
  <si>
    <t>Current Year</t>
  </si>
  <si>
    <t>First Semester              (Jan.-June)</t>
  </si>
  <si>
    <t>1000-1</t>
  </si>
  <si>
    <t>Maint. &amp; Other Operating Expenses</t>
  </si>
  <si>
    <t>Installation &amp; Maintenance of Street Lighting</t>
  </si>
  <si>
    <t>5-02-13-030</t>
  </si>
  <si>
    <t>Repair and Maintenance of Municipal  Roads</t>
  </si>
  <si>
    <t>Ecological and Environmental Services</t>
  </si>
  <si>
    <t>BIARPS/ARCDP/ARISP/FMR/ LOGOFIND Bldg. Maintenance</t>
  </si>
  <si>
    <t>Total MOOE</t>
  </si>
  <si>
    <t>Improvement of Public Market</t>
  </si>
  <si>
    <t>Rep. and Rehab of Brgy. Roads</t>
  </si>
  <si>
    <t>Imp. &amp; Rehab of Pub. Mrkts Access Roads</t>
  </si>
  <si>
    <t>Loan Amortization (CBRMP &amp; LOGOFIND)</t>
  </si>
  <si>
    <t xml:space="preserve">KALAHI Counterpart Contribution </t>
  </si>
  <si>
    <t>Counterpart to BUB/GPB/ADM Project</t>
  </si>
  <si>
    <t>DA/DENR Counterpart</t>
  </si>
  <si>
    <t>NHA/Pilar Resettlement Project</t>
  </si>
  <si>
    <t>SLF Counterpart</t>
  </si>
  <si>
    <t>Counterpart for AM Projects</t>
  </si>
  <si>
    <t>Sanitary Landfill Counterpart Contribution</t>
  </si>
  <si>
    <t>Purchase of Heavy Equipment (Backhoe)</t>
  </si>
  <si>
    <t>Bagumbayan Public Market Improvement</t>
  </si>
  <si>
    <t>Poblacion Public Market Improvement</t>
  </si>
  <si>
    <t>Improvement of San Isidro Public Market</t>
  </si>
  <si>
    <t>Sagnap Spring Eco-tourism Improvement</t>
  </si>
  <si>
    <t>Construction ESKAYA Cultural Heritage Development Learning Center</t>
  </si>
  <si>
    <t>Municipal Circumferential Road Concreting</t>
  </si>
  <si>
    <t>Rural Electrification Project</t>
  </si>
  <si>
    <t>Improvement of Municipal Ground</t>
  </si>
  <si>
    <t>Multi-purpose Hall</t>
  </si>
  <si>
    <t>Completion of Cultural Facility</t>
  </si>
  <si>
    <t>Construction of Heavy Equipment Multi-purpose Building</t>
  </si>
  <si>
    <t>Improvement of Block Tienda at Malinao Dam/Freedom Park</t>
  </si>
  <si>
    <t>Rehabilitation of Bayong to San Vicente Road (Purok 4 to Purok 6 Bayong Section)</t>
  </si>
  <si>
    <t>Rep. and Rehab of  Multi-Purpose Bldg.- San Carlos</t>
  </si>
  <si>
    <t>Rep. and Rehab of  Multi-Purpose Bldg.- Estaca</t>
  </si>
  <si>
    <t>Rep. and Rehab of  Multi-Purpose Bldg.-Inaghuban</t>
  </si>
  <si>
    <t>Rep. and Rehab of  Multi-Purpose Bldg.- San Isidro</t>
  </si>
  <si>
    <t>Rep. and Rehab of  Multi-Purpose Bldg.- San Vicente</t>
  </si>
  <si>
    <t>Comp. of KC-NCCDP MP Bldg. -Ilaud</t>
  </si>
  <si>
    <t>Comp. of KC-NCCDP MP Bldg. -Lumbay</t>
  </si>
  <si>
    <t>Comp. of KC-NCCDP MP Bldg. -Pamacsalan</t>
  </si>
  <si>
    <t>Comp. of KC-NCCDP MP Bldg. -Poblacion</t>
  </si>
  <si>
    <t>Comp. of KC-NCCDP MP Bldg. -Bagacay</t>
  </si>
  <si>
    <t>Comp. of KC-NCCDP MP Bldg. -Cagawasan</t>
  </si>
  <si>
    <t>Comp. of KC-NCCDP MP Bldg. -Cansungay</t>
  </si>
  <si>
    <t>Concreting of B-Suerte Brgy. Roads</t>
  </si>
  <si>
    <t>Purchase of Motor Grader (NOE 2,240.000.00) (3,202.000)</t>
  </si>
  <si>
    <t>Total Capital Outlay</t>
  </si>
  <si>
    <t>Grand Total</t>
  </si>
  <si>
    <t>Municipal Budget Officer</t>
  </si>
  <si>
    <t>Municipal Mayor</t>
  </si>
  <si>
    <t>LGU: Pilar, Bohol</t>
  </si>
  <si>
    <r>
      <t xml:space="preserve">Office                     :     </t>
    </r>
    <r>
      <rPr>
        <b/>
        <sz val="12"/>
        <rFont val="Calibri"/>
        <family val="2"/>
        <scheme val="minor"/>
      </rPr>
      <t>5% Disaster Risk Reduction Management</t>
    </r>
  </si>
  <si>
    <t>Function                 :     General Services</t>
  </si>
  <si>
    <t>Project/Activity      :     General Administration</t>
  </si>
  <si>
    <t>1000-01</t>
  </si>
  <si>
    <t>Other Purposes</t>
  </si>
  <si>
    <t>A. Prevention and Mitigation</t>
  </si>
  <si>
    <t>River Clean Up</t>
  </si>
  <si>
    <t>Mun. Reforestation Program</t>
  </si>
  <si>
    <t>Purchase of Shreddding Machine</t>
  </si>
  <si>
    <t>Establishment of MRF</t>
  </si>
  <si>
    <t>Purchase of Garbage Truck/Collector for Solid Waste Mgt.</t>
  </si>
  <si>
    <t>Completion of CDRA</t>
  </si>
  <si>
    <t>Conduct of Risk Assessment and Hazard Mapping</t>
  </si>
  <si>
    <t>Tree Planting along River Banks and Creeks</t>
  </si>
  <si>
    <t>Improvement of Drainage System</t>
  </si>
  <si>
    <t>Establishment of Storage Facilities on Hazard Waste</t>
  </si>
  <si>
    <t>Construction of Dikes and Flood Control</t>
  </si>
  <si>
    <t>B. PREPAREDNESS</t>
  </si>
  <si>
    <t>Purchase and Installation of Radio Repeater, Base Radio &amp; Handheld Radios</t>
  </si>
  <si>
    <t>Installation of Early Warning System</t>
  </si>
  <si>
    <t>Disaster Capacity and Dev. Trainings</t>
  </si>
  <si>
    <t>Purchase of disaster response and rescue equipmenrs/Supplies</t>
  </si>
  <si>
    <t>Recovery and Rehabilitation (30%)</t>
  </si>
  <si>
    <t>Purchase of Power Generator</t>
  </si>
  <si>
    <t>Stockpiling of Disaster Relief Goods</t>
  </si>
  <si>
    <t>Trainor's Training on Disaster and Hazard Orientation and Awareness</t>
  </si>
  <si>
    <t>Development of IEC Materials</t>
  </si>
  <si>
    <t>Conduct of DRRM Trainings for MDRRMC, BDRRMC, responders and volunteers</t>
  </si>
  <si>
    <t>Conduct of SRR Training to Municipal Responders</t>
  </si>
  <si>
    <t>Establishment of MOA among partners</t>
  </si>
  <si>
    <t>Conduct of CBMS updating</t>
  </si>
  <si>
    <t>Stockpiling of Unexpirable Relief Goods</t>
  </si>
  <si>
    <t>Insurance for Rescue Vehicle</t>
  </si>
  <si>
    <t>C. RESPONSE</t>
  </si>
  <si>
    <t>Emergency Response Program</t>
  </si>
  <si>
    <t>Conduct of PDRA</t>
  </si>
  <si>
    <t>Conduct of SRR Operations</t>
  </si>
  <si>
    <t>Enforcement of pre-emptive and forced evacuation</t>
  </si>
  <si>
    <t>Conduct RDANA</t>
  </si>
  <si>
    <t>D. RECOVERY AND REHABILITATION</t>
  </si>
  <si>
    <t>Conduct of PDNA</t>
  </si>
  <si>
    <t>Provision of Alternative livelihood program to affected families</t>
  </si>
  <si>
    <t>Rehab of Dwelling Units</t>
  </si>
  <si>
    <t>E. QUICK RESPONSE FUND (30%)</t>
  </si>
  <si>
    <t>Completion of DRRM Building</t>
  </si>
  <si>
    <t>Fab. And Inst. Of Early Warning Device</t>
  </si>
  <si>
    <t>Purchase of Disaster and Rescue Equipt.</t>
  </si>
  <si>
    <t>Purchase of IT equipments for IEC and Weather Monitoring &amp; Damage Assessment</t>
  </si>
  <si>
    <t>Office                      :     Municipal Planning &amp; Development Coord.</t>
  </si>
  <si>
    <t>Function                  :     Formulates Plans and Programs of the LGU.</t>
  </si>
  <si>
    <t>Project/Activity       :     Executive Services</t>
  </si>
  <si>
    <t>LIE</t>
  </si>
  <si>
    <t>Local Poverty Reduction and Alivation Program (LPRAP)</t>
  </si>
  <si>
    <t>Wages</t>
  </si>
  <si>
    <t>Traveling Expenses</t>
  </si>
  <si>
    <t>Other Operating and Maint. Expenses</t>
  </si>
  <si>
    <t>Xerox and Riso Machine Maintenance</t>
  </si>
  <si>
    <t>Supplies</t>
  </si>
  <si>
    <t>Repair and Maintenance-Machinery and Equipment</t>
  </si>
  <si>
    <t>Maintenance of Municipal Cemetery</t>
  </si>
  <si>
    <t>Fuel, Oil and Lubricants</t>
  </si>
  <si>
    <t>Repair and Maintenance</t>
  </si>
  <si>
    <t>5-02-13-990</t>
  </si>
  <si>
    <t>Purchase of Grass Cutter</t>
  </si>
  <si>
    <t>1-07-05-040</t>
  </si>
  <si>
    <t>KALAHI CIDSS - NCDDP</t>
  </si>
  <si>
    <t>Wages - Municipal Counterpart Personel</t>
  </si>
  <si>
    <t>Honorarium -MCT</t>
  </si>
  <si>
    <t>Office Equipment Maintenance</t>
  </si>
  <si>
    <t>Training and seminars</t>
  </si>
  <si>
    <t>Other Operating Expenses</t>
  </si>
  <si>
    <t>Purchase of Furn. &amp; Fixt./Equipments</t>
  </si>
  <si>
    <t>CLUP/ FLUP</t>
  </si>
  <si>
    <t>TESDA</t>
  </si>
  <si>
    <t>Wages for Trainor and Clerk</t>
  </si>
  <si>
    <t xml:space="preserve">        Supplies and Materials</t>
  </si>
  <si>
    <t>Culinary Equipment</t>
  </si>
  <si>
    <t>Total CO</t>
  </si>
  <si>
    <t xml:space="preserve">                                                          Prepared by:                                         Reviewed by:                                     Approved by:</t>
  </si>
  <si>
    <t xml:space="preserve">                                                       JOSEPH R. ANANIA                           ELAINE E. RESUSTA                            EUGENIO B. DATAHAN II  </t>
  </si>
  <si>
    <t xml:space="preserve">                                                               MPDC                                     Municipal Budget Officer                              Municipal Mayor </t>
  </si>
  <si>
    <r>
      <rPr>
        <sz val="12"/>
        <rFont val="Calibri"/>
        <family val="2"/>
        <scheme val="minor"/>
      </rPr>
      <t>Office                 :</t>
    </r>
    <r>
      <rPr>
        <b/>
        <sz val="12"/>
        <rFont val="Calibri"/>
        <family val="2"/>
        <scheme val="minor"/>
      </rPr>
      <t xml:space="preserve"> Municipal Assessor's Office</t>
    </r>
  </si>
  <si>
    <t>Function            :  Tax mapping and assessment.</t>
  </si>
  <si>
    <t>Project/Activity    : Executive Services</t>
  </si>
  <si>
    <t>LAND TITLING:</t>
  </si>
  <si>
    <t>Notarial Fee</t>
  </si>
  <si>
    <t>5-02-11-010</t>
  </si>
  <si>
    <t>Processing Fee</t>
  </si>
  <si>
    <t>RPT REVISION:</t>
  </si>
  <si>
    <t>Gasoline/Traveling Expenses</t>
  </si>
  <si>
    <t xml:space="preserve">                                      Prepared by:                                              Reviewed by:                                                Approved by:</t>
  </si>
  <si>
    <t xml:space="preserve">                                     SONIA L. BALDERO                               ELAINE E. RESUSTA                               EUGENIO B. DATAHAN II  </t>
  </si>
  <si>
    <t xml:space="preserve">                                       Department Head                             Municipal Budget Officer                                  Municipal Mayor </t>
  </si>
  <si>
    <r>
      <rPr>
        <sz val="12"/>
        <rFont val="Calibri"/>
        <family val="2"/>
        <scheme val="minor"/>
      </rPr>
      <t xml:space="preserve">Office                  :     </t>
    </r>
    <r>
      <rPr>
        <b/>
        <sz val="12"/>
        <rFont val="Calibri"/>
        <family val="2"/>
        <scheme val="minor"/>
      </rPr>
      <t>Municipal Agriculture's Office</t>
    </r>
  </si>
  <si>
    <t>BUDGET 2018</t>
  </si>
  <si>
    <t>TRACTOR MAINTENANCE:</t>
  </si>
  <si>
    <t>Oil and Lubricants</t>
  </si>
  <si>
    <t>Purchase of Welding Machine</t>
  </si>
  <si>
    <t>Purchase of Other Accessories</t>
  </si>
  <si>
    <t>MEDICINE:</t>
  </si>
  <si>
    <t>Liguid Nitrogen</t>
  </si>
  <si>
    <t>Dewormer</t>
  </si>
  <si>
    <t>5-02-03-040</t>
  </si>
  <si>
    <t>PALAYAMANAN:</t>
  </si>
  <si>
    <t>Completion of Storage Room</t>
  </si>
  <si>
    <t>PILAR DAM:</t>
  </si>
  <si>
    <t xml:space="preserve">        Baftech Honorarium</t>
  </si>
  <si>
    <t>Baftech Honorarium</t>
  </si>
  <si>
    <t xml:space="preserve">        Traveling Expenses</t>
  </si>
  <si>
    <t>Supplies and Materials</t>
  </si>
  <si>
    <t>5-01-03-990</t>
  </si>
  <si>
    <t xml:space="preserve">        Trainings</t>
  </si>
  <si>
    <t>Training Expenses</t>
  </si>
  <si>
    <t xml:space="preserve">        Other Operating Expenses</t>
  </si>
  <si>
    <t>SWINE BREEDING SYSTEM AND FISH POND PROJECTS:</t>
  </si>
  <si>
    <t>Feeds and Biologics</t>
  </si>
  <si>
    <t>5-02-03-100</t>
  </si>
  <si>
    <t>Bldg. Repair and Maintenance</t>
  </si>
  <si>
    <t>LIVELIHOOD PROJECTS:</t>
  </si>
  <si>
    <t>Purchase of Nitrogen for Large Cattle</t>
  </si>
  <si>
    <t>Fertilizers for Crop</t>
  </si>
  <si>
    <t>Labor and Turtle Services</t>
  </si>
  <si>
    <t>Diesel/Fuel for tractor</t>
  </si>
  <si>
    <t>Pur. Of Pesticides and Fungicides</t>
  </si>
  <si>
    <t>Irrigation Fee</t>
  </si>
  <si>
    <t>Electricity Expenses in Demo Farm</t>
  </si>
  <si>
    <t>DOG MANAGEMENT PROGRAM:</t>
  </si>
  <si>
    <t>Fuel for Mobilization</t>
  </si>
  <si>
    <t>Capability Training</t>
  </si>
  <si>
    <t>ORGANIZATION MAINTENANCE:</t>
  </si>
  <si>
    <t>Honorarium- BALA</t>
  </si>
  <si>
    <t>Honorarium- BNS</t>
  </si>
  <si>
    <t>Honorarium- FA</t>
  </si>
  <si>
    <t>Honorarium- COCO FARMER</t>
  </si>
  <si>
    <t xml:space="preserve">                                                  Prepared by:                                        Reviewed by:                                Approved by:</t>
  </si>
  <si>
    <t xml:space="preserve">                                                   CARMEN C. CUBRADO                  ELAINE E. RESUSTA               EUGENIO B. DATAHAN II  </t>
  </si>
  <si>
    <t xml:space="preserve">                                                     Department Head                      Municipal Budget Officer                       Municipal Mayor </t>
  </si>
  <si>
    <r>
      <rPr>
        <sz val="12"/>
        <rFont val="Calibri"/>
        <family val="2"/>
        <scheme val="minor"/>
      </rPr>
      <t xml:space="preserve">Office                 :     </t>
    </r>
    <r>
      <rPr>
        <b/>
        <sz val="12"/>
        <rFont val="Calibri"/>
        <family val="2"/>
        <scheme val="minor"/>
      </rPr>
      <t>Mun. Envi. And Natural Resource  Office</t>
    </r>
  </si>
  <si>
    <t>Function             :     Environmental and Natural Resource Management</t>
  </si>
  <si>
    <t xml:space="preserve">CLEAN AND GREEN </t>
  </si>
  <si>
    <t>5-02-12-010</t>
  </si>
  <si>
    <t xml:space="preserve">Fuel, Oil and Lubricants                                 </t>
  </si>
  <si>
    <t>MAINTENANCE OF CENTENNIAL FOREST</t>
  </si>
  <si>
    <t>MAINT. OF PIWARDEP NURSERY</t>
  </si>
  <si>
    <t xml:space="preserve">CAROOD PROGRAM </t>
  </si>
  <si>
    <t xml:space="preserve">Counter Part </t>
  </si>
  <si>
    <t>SOLID WASTE MANAGEMENT PROGRAM</t>
  </si>
  <si>
    <t>Fuel, Oil and Lubricants Used in Garbage Collection</t>
  </si>
  <si>
    <t>Provision for SWM Operation</t>
  </si>
  <si>
    <t xml:space="preserve">                                                    Prepared by:                                           Reviewed by:                                Approved by:</t>
  </si>
  <si>
    <t xml:space="preserve">                                                        EDWIN S. SARDIDO               ELAINE E. RESUSTA                 EUGENIO B. DATAHAN II  </t>
  </si>
  <si>
    <t xml:space="preserve">                                                           Department Head               Municipal Budget Officer                       Municipal Mayor </t>
  </si>
  <si>
    <t xml:space="preserve">    APPROPRIATION FOR PROJECTS RELATED TO GAD - LOCAL CHILD PROTECTION PROGRAM</t>
  </si>
  <si>
    <t xml:space="preserve">Past Year (Actual) </t>
  </si>
  <si>
    <t xml:space="preserve">First Semester (Jan.-June) (Actual) </t>
  </si>
  <si>
    <t xml:space="preserve">Second Semester (July-Dec.) (Estimate) </t>
  </si>
  <si>
    <t xml:space="preserve"> (Proposed)   </t>
  </si>
  <si>
    <t>CHILD WELFARE PROGRAM:</t>
  </si>
  <si>
    <t>Children's Program/Activities</t>
  </si>
  <si>
    <t>National Children's Month Celebration</t>
  </si>
  <si>
    <t>Salaries and Wages- House Parents (2)</t>
  </si>
  <si>
    <t>Subsistence Allowance:CICL</t>
  </si>
  <si>
    <t>5-02-03-050</t>
  </si>
  <si>
    <t>Mass Birth Registration under 17 yrs old</t>
  </si>
  <si>
    <t>Drugs and Medicines</t>
  </si>
  <si>
    <t>Aid to VAWC Victims</t>
  </si>
  <si>
    <t>Provision of social services for children in need of special protection</t>
  </si>
  <si>
    <t>YOUTH WELFARE PROGRAM:</t>
  </si>
  <si>
    <t>SK Programs</t>
  </si>
  <si>
    <t>YDS Activities</t>
  </si>
  <si>
    <t xml:space="preserve"> Farm Youth Development Program</t>
  </si>
  <si>
    <t>Training Expenses- youth presidents (PYAP)</t>
  </si>
  <si>
    <t>Adolescent Youth and Health Development</t>
  </si>
  <si>
    <t>OTHERS:</t>
  </si>
  <si>
    <t>Subsidy to NGA (Red Cross)</t>
  </si>
  <si>
    <t>Aid to BSP</t>
  </si>
  <si>
    <t>Aid to GSP</t>
  </si>
  <si>
    <t>Perimeter Fence</t>
  </si>
  <si>
    <t>Other Operating Exp. VAWC/CICL Programs</t>
  </si>
  <si>
    <t xml:space="preserve">     Department Head</t>
  </si>
  <si>
    <t xml:space="preserve">  Municipal Budget Officer</t>
  </si>
  <si>
    <t xml:space="preserve">       Municipal Mayor</t>
  </si>
  <si>
    <t xml:space="preserve">    APPROPRIATION FOR PROJECTS RELATED TO GAD - PWD/OSCA PROGRAM</t>
  </si>
  <si>
    <t xml:space="preserve">Budget Year       </t>
  </si>
  <si>
    <t xml:space="preserve">(Proposed)   </t>
  </si>
  <si>
    <t>Mayors:</t>
  </si>
  <si>
    <t>Salaries and Wages- Catherine Tapitan</t>
  </si>
  <si>
    <t>Salaries and Wages- Adolfo Espuelas</t>
  </si>
  <si>
    <t>Salaries and Wages- Ma. Conception Aurigue</t>
  </si>
  <si>
    <t>Salaries and Wages- Camelo Balistoy</t>
  </si>
  <si>
    <t>Salaries and Wages- Cesar Maslog</t>
  </si>
  <si>
    <r>
      <t>Salaries and Wages-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Lourdes Lusica</t>
    </r>
  </si>
  <si>
    <t>Salaries and Wages- Charles Cabanig</t>
  </si>
  <si>
    <t>Salaries and Wages- Cresencia Balaba</t>
  </si>
  <si>
    <t>Salaries and Wages- Market</t>
  </si>
  <si>
    <t>Salaries and Wages- Ferdinand B. Juares</t>
  </si>
  <si>
    <t>Salaries and Wages- Paulino Ladao</t>
  </si>
  <si>
    <t>Salaries and Wages- RHU Ext.</t>
  </si>
  <si>
    <t>MTO- Anna Marie Alterado</t>
  </si>
  <si>
    <t>SB- Elsie E. Amila</t>
  </si>
  <si>
    <t>Assessors- Paula Atup</t>
  </si>
  <si>
    <t>PWD:</t>
  </si>
  <si>
    <t>Aid to PWD- Honorarium</t>
  </si>
  <si>
    <t>Monthly Meeting-PWD Pres.(640*12)</t>
  </si>
  <si>
    <t>Special Meetings (640*4)</t>
  </si>
  <si>
    <t>Planning and Budgeting Seminar</t>
  </si>
  <si>
    <t>Year-end Assessment (21*300)</t>
  </si>
  <si>
    <t>Special Meetings</t>
  </si>
  <si>
    <t>Cash Assistance to PWD (400*350)</t>
  </si>
  <si>
    <t>NDPR WEEK Celebration</t>
  </si>
  <si>
    <t>Other General Services-PWD Desk</t>
  </si>
  <si>
    <t>Livelihood Training</t>
  </si>
  <si>
    <t>OSCA:</t>
  </si>
  <si>
    <t>Quarterly Meeting (640*4)</t>
  </si>
  <si>
    <t>Special Meeting Semestral (640*2)</t>
  </si>
  <si>
    <t>Honorarium to Officers -Brgy OSCA Pres. (200*21*12)</t>
  </si>
  <si>
    <t>Honorarium to OSCA Federated President (2000*12)</t>
  </si>
  <si>
    <t>Other General Services- OSCA Clerk</t>
  </si>
  <si>
    <t>Program Implementation Review Workshop Sr. Citizen Brgy President</t>
  </si>
  <si>
    <t>Aid to Centenarian</t>
  </si>
  <si>
    <t>Elderly Filipino Week Celebration</t>
  </si>
  <si>
    <t>Incentives to Non-Pensioner Senior Citizen</t>
  </si>
  <si>
    <t xml:space="preserve">     A. Birthday Cake/Cash Assistance (70 y.o. and above)</t>
  </si>
  <si>
    <t xml:space="preserve">     B. Death Assistance (60 y.o and above)</t>
  </si>
  <si>
    <t xml:space="preserve">     Municipal Mayor</t>
  </si>
  <si>
    <t xml:space="preserve">  APPROPRIATION FOR PROJECTS RELATED TO GENDER AWARENESS AND DEVELOPMENT - OTHER PROGRAMS</t>
  </si>
  <si>
    <t>Past Year (Actual)</t>
  </si>
  <si>
    <t>Social/Medical/Health Care Program</t>
  </si>
  <si>
    <t>Donations (Emergency Assist.-AICS)</t>
  </si>
  <si>
    <t>Donations (Emergency Assist.-AICS MSWD)</t>
  </si>
  <si>
    <t>Subsidy to NGOs/Pos- Chaplaincy - Family Dev't Sessions</t>
  </si>
  <si>
    <t>Traveling Expenses- NACPHIL</t>
  </si>
  <si>
    <t>Training Expenses- NACPHIL</t>
  </si>
  <si>
    <t>Office Supplies &amp; Equipment- NACPHIL</t>
  </si>
  <si>
    <t xml:space="preserve">Special Services- RHU Extension (Midwives &amp; Clerk) </t>
  </si>
  <si>
    <t xml:space="preserve">Special Projects- BIARPS (MedTech Wages)  </t>
  </si>
  <si>
    <t>Life Insurance For Men and Women Community Volunteers</t>
  </si>
  <si>
    <t>5-02-16-030</t>
  </si>
  <si>
    <t>NUTRITION PROGRAM:</t>
  </si>
  <si>
    <t>Nutrition Month Literary - Nutrition Program</t>
  </si>
  <si>
    <t>HEALTH CARE PROGRAM:</t>
  </si>
  <si>
    <t>Medicines - Mental Health Day</t>
  </si>
  <si>
    <t>Philhealth Management Program (SINCO FOR LIFE)</t>
  </si>
  <si>
    <t>5-02-15-020</t>
  </si>
  <si>
    <t>WOMEN WELFARE PROGRAM</t>
  </si>
  <si>
    <t xml:space="preserve">Aid to Federated Women's Association </t>
  </si>
  <si>
    <t>Women's Month Literary - Musical Program</t>
  </si>
  <si>
    <t>GAD Planning and Budgeting Assessment Workshop</t>
  </si>
  <si>
    <t>Training Expenses RA 9262, RA 9208 and other related VAW laws</t>
  </si>
  <si>
    <t>Provision of Assistive Device</t>
  </si>
  <si>
    <t>5-02-03-080</t>
  </si>
  <si>
    <t>Physical Therapist, SPED TEACHER</t>
  </si>
  <si>
    <t>CAPITAL OUTLAY-Purchase of Therapeutic Equipment</t>
  </si>
  <si>
    <t>TOTAL CO</t>
  </si>
  <si>
    <t>TOTAL MOOE</t>
  </si>
  <si>
    <t>GRAND TOTAL</t>
  </si>
  <si>
    <t xml:space="preserve"> EUGENIO B. DATAHAN II  </t>
  </si>
  <si>
    <t xml:space="preserve">        EUGENIO B. DATAHAN II  </t>
  </si>
  <si>
    <t xml:space="preserve">      Department Head</t>
  </si>
  <si>
    <t xml:space="preserve">              Municipal Mayor</t>
  </si>
  <si>
    <t xml:space="preserve">           PEACE AND ORDER AND PUBLIC SAFETY BUDGET FOR THE PERIOD 2019</t>
  </si>
  <si>
    <t xml:space="preserve">           POLICIES, PROGRAMS, PROJECTS, SERVICES AND ACTIVITIES 2019</t>
  </si>
  <si>
    <t>Conduct of Organizational, Coordination and/or Inter-Agency Meetings</t>
  </si>
  <si>
    <t>Conduct of Regular Municipal Peace &amp; Order Meeting</t>
  </si>
  <si>
    <t>Formulation and Improvement of Peace and Order &amp; Public Safety Security Policies</t>
  </si>
  <si>
    <t>POPS Plan Assessment &amp; Evaluation Workshop</t>
  </si>
  <si>
    <t>Provision of Personnel, Financial Support, &amp; other Administrative Services to the POC Secretariat</t>
  </si>
  <si>
    <t>Subsistence to PNP &amp; BFP</t>
  </si>
  <si>
    <t>Repair and maintenance of PNP and BFP vehicle</t>
  </si>
  <si>
    <t>Equipment and Office Supplies</t>
  </si>
  <si>
    <t>Internet Connection</t>
  </si>
  <si>
    <t>Casual Personnel</t>
  </si>
  <si>
    <t>Support to Anti-Illegal Drug Programs such as:</t>
  </si>
  <si>
    <t>Strengthen the functionalities of ADACS at all levels</t>
  </si>
  <si>
    <t>Operation Tokhang/Double Barrel on Illegal Drugs surrenderee</t>
  </si>
  <si>
    <t>Conduct of Anti-Illegal Drug Operation</t>
  </si>
  <si>
    <t>MASA MASID Program</t>
  </si>
  <si>
    <t>Conduct of Anti-Illegal Drug Symposium</t>
  </si>
  <si>
    <t>Conduct of Orientation to Barangay Officials &amp; Interventionist on CBRP-Wow and MIOP Program</t>
  </si>
  <si>
    <t>Implementation of the CBRP-Wow &amp; MIOP program to all barangays</t>
  </si>
  <si>
    <t>Aid to Barangay on the Implementation of CBRP-Wow and MIOP program</t>
  </si>
  <si>
    <t>Support to CSO/Pos (NACPHIL and others stakeholders) involved in the CBRP-WoW and MIOP Program Implementation</t>
  </si>
  <si>
    <t>Support to Programs of PNP such as:</t>
  </si>
  <si>
    <t>Oplan Lambat-Sibat</t>
  </si>
  <si>
    <t>Oplan Katok</t>
  </si>
  <si>
    <t>Oplan Bakal Sita &amp; Implementation of WOA</t>
  </si>
  <si>
    <t>Oplan Tracker</t>
  </si>
  <si>
    <t>Oplan Sumpo Krimen</t>
  </si>
  <si>
    <t>Bantay Lakbay (Manman Kalsada)</t>
  </si>
  <si>
    <t>Bantay Lakbay (Bantay Turista)</t>
  </si>
  <si>
    <t>Bantay Eskwela (Manman Kalye)</t>
  </si>
  <si>
    <t>Implementation of the Community and Service-Oriented Policing (CSOP) System such as:</t>
  </si>
  <si>
    <t>Increase in Police Visibility</t>
  </si>
  <si>
    <t>Conduct of Community-Based Activities</t>
  </si>
  <si>
    <t>Formulation and Conduct or Perception Survey focused on the Security and Peace and Order Situation</t>
  </si>
  <si>
    <t>Implementation and Enforcement of Programs for Special Themes or Special concerns of the LGU such as:</t>
  </si>
  <si>
    <t>Crime Prevention</t>
  </si>
  <si>
    <t>Anti-illegal Gambling</t>
  </si>
  <si>
    <t>Counterinsurgery and/or Counterterrorism</t>
  </si>
  <si>
    <t>Environmental Protection</t>
  </si>
  <si>
    <t>Illegal Trafficking in Persons</t>
  </si>
  <si>
    <t>Cybercrimes</t>
  </si>
  <si>
    <t>Smuggling of Goods and Persons</t>
  </si>
  <si>
    <t>Conduct of other Peace and Order related Programs</t>
  </si>
  <si>
    <t>Aid and/or Capability Development Programs to Personnel of Law Enforcement Agencies &amp; Volunteers/Partners such as:</t>
  </si>
  <si>
    <t>Katarungang Pambarangay (KP) Refresher Course</t>
  </si>
  <si>
    <t>Tanod Trainings</t>
  </si>
  <si>
    <t>BIN/BPATS</t>
  </si>
  <si>
    <t>PLEB</t>
  </si>
  <si>
    <t>Other Peace and Order Related Trainings</t>
  </si>
  <si>
    <t>FDPP Form 1b</t>
  </si>
  <si>
    <t>PROGRAMMMED APPROPRIATION AND OBLIGATION</t>
  </si>
  <si>
    <t>BY OBJECT OF EXPENDITURE</t>
  </si>
  <si>
    <t>CY 2019</t>
  </si>
  <si>
    <t>General Fund (Including Economic Enterprise)</t>
  </si>
  <si>
    <t>Jan.-June 2018</t>
  </si>
  <si>
    <t>July-Dec., 2018</t>
  </si>
  <si>
    <t>III. Expenditures</t>
  </si>
  <si>
    <t xml:space="preserve">    Personal Services</t>
  </si>
  <si>
    <t xml:space="preserve">         Salaries and Wages- Regular</t>
  </si>
  <si>
    <t xml:space="preserve">         Salaries and Wages- Casual</t>
  </si>
  <si>
    <t xml:space="preserve">        PERA</t>
  </si>
  <si>
    <t xml:space="preserve">        Representation Allowance</t>
  </si>
  <si>
    <t xml:space="preserve">        Transportation Allowance</t>
  </si>
  <si>
    <t xml:space="preserve">        Clothing/Uniform Allowance</t>
  </si>
  <si>
    <t xml:space="preserve">        Productivity Incentive Allowance</t>
  </si>
  <si>
    <t xml:space="preserve">        Cash Gift</t>
  </si>
  <si>
    <t xml:space="preserve">        Mid year and Year End Bonus</t>
  </si>
  <si>
    <t xml:space="preserve">       Life/Retirement Ins. Cont.</t>
  </si>
  <si>
    <t xml:space="preserve">       Pag-ibig Contribution</t>
  </si>
  <si>
    <t xml:space="preserve">       Philhealth Contribution</t>
  </si>
  <si>
    <t xml:space="preserve">       ECC Contribution</t>
  </si>
  <si>
    <t xml:space="preserve">       Other Personnel Benefits(Monetization)</t>
  </si>
  <si>
    <t xml:space="preserve">       Terminal Leave Benefits</t>
  </si>
  <si>
    <t xml:space="preserve">       Loyalty</t>
  </si>
  <si>
    <t xml:space="preserve">       Subsistence allowance</t>
  </si>
  <si>
    <t xml:space="preserve">       LAundry allowance</t>
  </si>
  <si>
    <t xml:space="preserve">       Hazard Pay</t>
  </si>
  <si>
    <t xml:space="preserve">    Total PS</t>
  </si>
  <si>
    <t xml:space="preserve">    Maintenance and Other Operating Expenses</t>
  </si>
  <si>
    <t xml:space="preserve">       Traveling Expenses -Local</t>
  </si>
  <si>
    <t xml:space="preserve">       Training Expenses </t>
  </si>
  <si>
    <t xml:space="preserve">       Office Supplies Expenses</t>
  </si>
  <si>
    <t xml:space="preserve">       Telephone Expenses - Mobile </t>
  </si>
  <si>
    <t xml:space="preserve">       Internet Subscription Expenses </t>
  </si>
  <si>
    <t xml:space="preserve">       Extraordinary &amp; Miscellaneous Expenses</t>
  </si>
  <si>
    <t xml:space="preserve">       Other General Services</t>
  </si>
  <si>
    <t xml:space="preserve">       Other General Services (Office Clerk)</t>
  </si>
  <si>
    <t xml:space="preserve">       Repair and Maintenance - Machinery and Eqpt</t>
  </si>
  <si>
    <t xml:space="preserve">       Repair and Maintenance - Transportation Eqpt</t>
  </si>
  <si>
    <t xml:space="preserve">       Fidelity Bond Premuims</t>
  </si>
  <si>
    <t xml:space="preserve">       Representation Expenses</t>
  </si>
  <si>
    <t xml:space="preserve">       Other  Services</t>
  </si>
  <si>
    <t xml:space="preserve">       Other Maintenance and Operating Expenses</t>
  </si>
  <si>
    <t xml:space="preserve">       Traveling Expenses - Local - HRMO</t>
  </si>
  <si>
    <t xml:space="preserve">       Training Expenses - HRMO</t>
  </si>
  <si>
    <t xml:space="preserve">       Office Supplies Espenses - HRMO</t>
  </si>
  <si>
    <t xml:space="preserve">       Other General Services - HRMO</t>
  </si>
  <si>
    <t xml:space="preserve">       Publication and  Reproduction  of New Codes</t>
  </si>
  <si>
    <t xml:space="preserve">       Revision of Administrative and Revenue Code</t>
  </si>
  <si>
    <t xml:space="preserve">       Annual Dues to VMLP</t>
  </si>
  <si>
    <t xml:space="preserve">       Annual Dues to PCL</t>
  </si>
  <si>
    <t xml:space="preserve">       Advertising Expenses</t>
  </si>
  <si>
    <t xml:space="preserve">       Computer Data Processing Services (ECPAC)</t>
  </si>
  <si>
    <t xml:space="preserve">       Bids and Awards Expenses (Hon.)</t>
  </si>
  <si>
    <t xml:space="preserve">       Subsidy to NGA (COA)</t>
  </si>
  <si>
    <t xml:space="preserve">         Accountable Forms Expenses</t>
  </si>
  <si>
    <t xml:space="preserve">       Tax Campaign</t>
  </si>
  <si>
    <t xml:space="preserve">       BPLO Programs </t>
  </si>
  <si>
    <t xml:space="preserve">       Drugs and Medicines Expenses</t>
  </si>
  <si>
    <t xml:space="preserve">       Medico Legal</t>
  </si>
  <si>
    <t xml:space="preserve">       Philhealth Management Program</t>
  </si>
  <si>
    <t xml:space="preserve">       Contribution to Carmen Health District</t>
  </si>
  <si>
    <t xml:space="preserve">       Operation Tuli</t>
  </si>
  <si>
    <t xml:space="preserve">       Mass Blood Donation</t>
  </si>
  <si>
    <t xml:space="preserve">       Maintenance of Tennis Court</t>
  </si>
  <si>
    <t xml:space="preserve">       Maintenance of Municipal Hall Building</t>
  </si>
  <si>
    <t xml:space="preserve">       Special Services-RHU Extension (Midwives &amp; Clerk)</t>
  </si>
  <si>
    <t xml:space="preserve">       Special Projects - BIARPS ( MedTech Wages)</t>
  </si>
  <si>
    <t xml:space="preserve">       Assistance to BHW's -Honorarium</t>
  </si>
  <si>
    <t xml:space="preserve">       Salaries and Wages - Mun./Brgy. Bookeeper</t>
  </si>
  <si>
    <t xml:space="preserve">       Salaries and Wages - Peace and Order</t>
  </si>
  <si>
    <t xml:space="preserve">       Salaries and Wages -  MVM Drivers &amp; Maintenance</t>
  </si>
  <si>
    <t xml:space="preserve">       Aid to ABTSP</t>
  </si>
  <si>
    <t xml:space="preserve">       Aid to LIGA ng mga Barangay</t>
  </si>
  <si>
    <t xml:space="preserve">       Honoraria to Panubig Festival Committee</t>
  </si>
  <si>
    <t xml:space="preserve">       Honoraria to Foundation Day Committee</t>
  </si>
  <si>
    <t xml:space="preserve">       Publ./Advertising Exp/Mag. &amp; Newspaper Subs.</t>
  </si>
  <si>
    <t xml:space="preserve">       Repair and Maintenance construction &amp; heavy Equipment </t>
  </si>
  <si>
    <t xml:space="preserve">       Fuel, Oil &amp; Lubricants-MVM</t>
  </si>
  <si>
    <t xml:space="preserve">       MVM Spareparts</t>
  </si>
  <si>
    <t xml:space="preserve">       Repair and Maintenance - Transportation Equipment</t>
  </si>
  <si>
    <t xml:space="preserve">       Subsidy to NGA (DILG)</t>
  </si>
  <si>
    <t xml:space="preserve">       Subsidy to NGA (MCTC)</t>
  </si>
  <si>
    <t xml:space="preserve">       Subsidy to NGA (COA) [transferred to Acctg.)</t>
  </si>
  <si>
    <t xml:space="preserve">       Subsidy to NGOs/Pos - Chaplaincy</t>
  </si>
  <si>
    <t xml:space="preserve">       Aid to Barangay with high RPT Collections</t>
  </si>
  <si>
    <t xml:space="preserve">       Aid to Anti-TB</t>
  </si>
  <si>
    <t xml:space="preserve">       Annual Dues-LMP</t>
  </si>
  <si>
    <t xml:space="preserve">       Traveling Expenses -PNP</t>
  </si>
  <si>
    <t xml:space="preserve">       Traveling Expenses -BFP</t>
  </si>
  <si>
    <t xml:space="preserve">       Information Drive Awareness</t>
  </si>
  <si>
    <t xml:space="preserve">       Training and Seminars of BPATs/Tanods/BIN</t>
  </si>
  <si>
    <t xml:space="preserve">       IT Equipment/Projector</t>
  </si>
  <si>
    <t xml:space="preserve">       Subsistence-CAFGU, PNP&amp;BFP</t>
  </si>
  <si>
    <t xml:space="preserve">       FS-Travel Allowance</t>
  </si>
  <si>
    <t xml:space="preserve">       Training and Seminars- Tanod</t>
  </si>
  <si>
    <t xml:space="preserve">       Training and Seminars- PNP (Markmanship)</t>
  </si>
  <si>
    <t xml:space="preserve">       Office Supplies -BFP</t>
  </si>
  <si>
    <t xml:space="preserve">       Office Supplies -PNP</t>
  </si>
  <si>
    <t xml:space="preserve">       Confidential Fund</t>
  </si>
  <si>
    <t xml:space="preserve">       Election Expense</t>
  </si>
  <si>
    <t xml:space="preserve">       National Election</t>
  </si>
  <si>
    <t xml:space="preserve">       Barangays Election</t>
  </si>
  <si>
    <t xml:space="preserve">       Office Supplies &amp; Equipment-Tourism</t>
  </si>
  <si>
    <t xml:space="preserve">       Travelling Expenses-Tourism</t>
  </si>
  <si>
    <t xml:space="preserve">       Training and Seminars-Tourism</t>
  </si>
  <si>
    <t xml:space="preserve">       Other Maint. &amp; Operating Expenses </t>
  </si>
  <si>
    <t xml:space="preserve">       Water Expenses</t>
  </si>
  <si>
    <t xml:space="preserve">       Electricity Expenses</t>
  </si>
  <si>
    <t xml:space="preserve">       Special Event-Panubig  Festival</t>
  </si>
  <si>
    <t xml:space="preserve">       Special Event - Foundation Day</t>
  </si>
  <si>
    <t xml:space="preserve">       Sports Development</t>
  </si>
  <si>
    <t xml:space="preserve">       Support to BOHOLYMPICS Competition</t>
  </si>
  <si>
    <t xml:space="preserve">       Assist SK Programs</t>
  </si>
  <si>
    <t xml:space="preserve">       Support to CeC Programs</t>
  </si>
  <si>
    <t xml:space="preserve">        Salaries and Wages- School Workers/Guards (Aid to Pilar District)</t>
  </si>
  <si>
    <t xml:space="preserve">       Civil Service Day (LGU Family Day)</t>
  </si>
  <si>
    <t xml:space="preserve">       Salaries and Wages- DCC</t>
  </si>
  <si>
    <t xml:space="preserve">       Salaries and Wages- ECD Workers</t>
  </si>
  <si>
    <t xml:space="preserve">       Assistance to BHW's- Honorarium</t>
  </si>
  <si>
    <t xml:space="preserve">       Repair and Rehab of PTVHS LOGOFIND Bldg.</t>
  </si>
  <si>
    <t xml:space="preserve">    Capital Outlay</t>
  </si>
  <si>
    <t xml:space="preserve">       Furniture and Fixtures</t>
  </si>
  <si>
    <t xml:space="preserve">       Motor Vehicle/Executive Vehicle</t>
  </si>
  <si>
    <t xml:space="preserve">       Rep. &amp; Rehab of PTVHS LOGOFIND Bldg.</t>
  </si>
  <si>
    <t xml:space="preserve">       Furniture&amp;Fixture -NACPHIL</t>
  </si>
  <si>
    <t xml:space="preserve">       IT Equipt. &amp; software -Tourism</t>
  </si>
  <si>
    <t xml:space="preserve">       IT Equipt. &amp; software -PNP</t>
  </si>
  <si>
    <t xml:space="preserve">       IT Equipt. &amp; software - Computer BFP</t>
  </si>
  <si>
    <t xml:space="preserve">       Bagumbayan Principal Office-Completion</t>
  </si>
  <si>
    <t xml:space="preserve">       Monochrome Photocopier</t>
  </si>
  <si>
    <t xml:space="preserve">       Office Building Rehabilitation</t>
  </si>
  <si>
    <t xml:space="preserve">       Completion of Open Court</t>
  </si>
  <si>
    <t xml:space="preserve">       Rehabilitation of Mun. Hall</t>
  </si>
  <si>
    <t xml:space="preserve">       Inst. Of CCTV in Market Area</t>
  </si>
  <si>
    <t xml:space="preserve">       Municipal Signage</t>
  </si>
  <si>
    <t xml:space="preserve">       IT Equipment and Software</t>
  </si>
  <si>
    <t xml:space="preserve">       Office Equipment</t>
  </si>
  <si>
    <t xml:space="preserve">       Installation of CCTV</t>
  </si>
  <si>
    <t xml:space="preserve">       Freezer</t>
  </si>
  <si>
    <t xml:space="preserve">       Waterworks Improvement</t>
  </si>
  <si>
    <t xml:space="preserve">       Fabrication of Tent</t>
  </si>
  <si>
    <t>Special Purpose Appropriations (SPAs)</t>
  </si>
  <si>
    <t>Appropriation for Development Programs/Projects (20%) Development Fund</t>
  </si>
  <si>
    <t>Programs/Projects (5% LDRRM Fund)</t>
  </si>
  <si>
    <t>Appropriations for Debt Services</t>
  </si>
  <si>
    <t>Advances/Loans to Local Economic Enterprises/ Public Utilities</t>
  </si>
  <si>
    <t>Aid to barangays</t>
  </si>
  <si>
    <t>Other Authorized SPAs</t>
  </si>
  <si>
    <t>Total SPA's</t>
  </si>
  <si>
    <t>Total Appropriations</t>
  </si>
  <si>
    <t xml:space="preserve">         We hereby certify that we have reviewed the contents and hereby attest to te veracity and correctness of the data or information contained in this document.</t>
  </si>
  <si>
    <t>Approved:</t>
  </si>
  <si>
    <t>Local Budget Officer</t>
  </si>
  <si>
    <t>Local 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</si>
</sst>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₱&quot;* #,##0.00_);_(&quot;₱&quot;* \(#,##0.00\);_(&quot;₱&quot;* &quot;-&quot;??_);_(@_)"/>
    <numFmt numFmtId="167" formatCode="#,##0.0_);\(#,##0.0\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 style="thin">
        <color theme="1"/>
      </left>
      <right/>
      <top/>
      <bottom style="thin">
        <color theme="1" tint="0.499984740745262"/>
      </bottom>
      <diagonal/>
    </border>
    <border>
      <left style="thin">
        <color theme="1"/>
      </left>
      <right style="thin">
        <color indexed="64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/>
      </left>
      <right style="thin">
        <color auto="1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indexed="64"/>
      </right>
      <top/>
      <bottom style="double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 tint="0.499984740745262"/>
      </top>
      <bottom/>
      <diagonal/>
    </border>
    <border>
      <left style="thin">
        <color theme="1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auto="1"/>
      </left>
      <right/>
      <top style="double">
        <color theme="1" tint="0.499984740745262"/>
      </top>
      <bottom style="double">
        <color auto="1"/>
      </bottom>
      <diagonal/>
    </border>
    <border>
      <left/>
      <right/>
      <top style="double">
        <color theme="1" tint="0.499984740745262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double">
        <color theme="1" tint="0.499984740745262"/>
      </top>
      <bottom style="double">
        <color auto="1"/>
      </bottom>
      <diagonal/>
    </border>
    <border>
      <left style="thin">
        <color indexed="64"/>
      </left>
      <right/>
      <top/>
      <bottom style="double">
        <color theme="1" tint="0.499984740745262"/>
      </bottom>
      <diagonal/>
    </border>
    <border>
      <left style="thin">
        <color theme="1"/>
      </left>
      <right style="thin">
        <color theme="1"/>
      </right>
      <top/>
      <bottom style="double">
        <color theme="1" tint="0.499984740745262"/>
      </bottom>
      <diagonal/>
    </border>
    <border>
      <left style="thin">
        <color indexed="64"/>
      </left>
      <right/>
      <top style="double">
        <color auto="1"/>
      </top>
      <bottom style="double">
        <color theme="1" tint="0.499984740745262"/>
      </bottom>
      <diagonal/>
    </border>
    <border>
      <left/>
      <right style="thin">
        <color theme="1"/>
      </right>
      <top style="double">
        <color auto="1"/>
      </top>
      <bottom style="double">
        <color theme="1" tint="0.499984740745262"/>
      </bottom>
      <diagonal/>
    </border>
    <border>
      <left style="thin">
        <color theme="1"/>
      </left>
      <right style="thin">
        <color theme="1"/>
      </right>
      <top style="double">
        <color auto="1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</borders>
  <cellStyleXfs count="37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12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" fillId="0" borderId="8" xfId="0" applyFont="1" applyBorder="1" applyAlignment="1">
      <alignment horizontal="left" vertical="center"/>
    </xf>
    <xf numFmtId="0" fontId="0" fillId="0" borderId="8" xfId="0" applyFont="1" applyBorder="1"/>
    <xf numFmtId="0" fontId="1" fillId="0" borderId="8" xfId="0" applyFont="1" applyBorder="1"/>
    <xf numFmtId="0" fontId="1" fillId="0" borderId="7" xfId="0" applyFont="1" applyBorder="1"/>
    <xf numFmtId="165" fontId="1" fillId="0" borderId="7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4" fillId="0" borderId="0" xfId="0" applyNumberFormat="1" applyFont="1"/>
    <xf numFmtId="0" fontId="0" fillId="0" borderId="7" xfId="0" applyFont="1" applyBorder="1"/>
    <xf numFmtId="0" fontId="1" fillId="0" borderId="10" xfId="0" applyFont="1" applyBorder="1"/>
    <xf numFmtId="165" fontId="1" fillId="0" borderId="7" xfId="0" applyNumberFormat="1" applyFont="1" applyBorder="1"/>
    <xf numFmtId="165" fontId="0" fillId="0" borderId="0" xfId="1" applyFont="1"/>
    <xf numFmtId="0" fontId="1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0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165" fontId="5" fillId="0" borderId="0" xfId="1" applyFont="1" applyBorder="1"/>
    <xf numFmtId="0" fontId="1" fillId="0" borderId="12" xfId="0" applyFont="1" applyBorder="1"/>
    <xf numFmtId="0" fontId="19" fillId="0" borderId="0" xfId="0" applyFont="1"/>
    <xf numFmtId="165" fontId="1" fillId="0" borderId="0" xfId="1" applyFont="1" applyBorder="1"/>
    <xf numFmtId="165" fontId="0" fillId="2" borderId="0" xfId="0" applyNumberFormat="1" applyFill="1"/>
    <xf numFmtId="0" fontId="1" fillId="0" borderId="1" xfId="0" applyFont="1" applyBorder="1" applyAlignment="1">
      <alignment horizontal="center" vertical="center"/>
    </xf>
    <xf numFmtId="165" fontId="1" fillId="0" borderId="2" xfId="1" applyFont="1" applyBorder="1"/>
    <xf numFmtId="0" fontId="0" fillId="2" borderId="1" xfId="0" applyFont="1" applyFill="1" applyBorder="1" applyAlignment="1">
      <alignment horizontal="center"/>
    </xf>
    <xf numFmtId="0" fontId="28" fillId="0" borderId="0" xfId="0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9" xfId="0" applyFont="1" applyBorder="1"/>
    <xf numFmtId="0" fontId="1" fillId="0" borderId="3" xfId="0" applyFont="1" applyBorder="1"/>
    <xf numFmtId="0" fontId="1" fillId="0" borderId="2" xfId="0" applyFont="1" applyBorder="1"/>
    <xf numFmtId="0" fontId="0" fillId="2" borderId="0" xfId="0" applyFont="1" applyFill="1"/>
    <xf numFmtId="165" fontId="0" fillId="2" borderId="0" xfId="1" applyFont="1" applyFill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2" borderId="0" xfId="0" applyFont="1" applyFill="1"/>
    <xf numFmtId="0" fontId="5" fillId="0" borderId="2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165" fontId="0" fillId="2" borderId="0" xfId="1" applyFont="1" applyFill="1" applyBorder="1"/>
    <xf numFmtId="0" fontId="0" fillId="2" borderId="0" xfId="0" applyFill="1" applyBorder="1"/>
    <xf numFmtId="165" fontId="1" fillId="0" borderId="11" xfId="1" applyFont="1" applyFill="1" applyBorder="1"/>
    <xf numFmtId="0" fontId="0" fillId="2" borderId="22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1" fontId="4" fillId="0" borderId="36" xfId="8" applyNumberFormat="1" applyFont="1" applyBorder="1" applyAlignment="1">
      <alignment horizontal="center"/>
    </xf>
    <xf numFmtId="1" fontId="4" fillId="0" borderId="35" xfId="8" applyNumberFormat="1" applyFont="1" applyBorder="1" applyAlignment="1">
      <alignment horizontal="center"/>
    </xf>
    <xf numFmtId="0" fontId="0" fillId="0" borderId="3" xfId="0" applyFont="1" applyBorder="1"/>
    <xf numFmtId="0" fontId="0" fillId="0" borderId="26" xfId="0" applyFont="1" applyBorder="1"/>
    <xf numFmtId="0" fontId="0" fillId="0" borderId="42" xfId="0" applyFont="1" applyBorder="1"/>
    <xf numFmtId="0" fontId="0" fillId="2" borderId="26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44" xfId="0" applyFont="1" applyBorder="1"/>
    <xf numFmtId="165" fontId="0" fillId="0" borderId="36" xfId="1" applyFont="1" applyBorder="1"/>
    <xf numFmtId="165" fontId="0" fillId="0" borderId="36" xfId="2" applyFont="1" applyBorder="1"/>
    <xf numFmtId="165" fontId="0" fillId="0" borderId="36" xfId="0" applyNumberFormat="1" applyFont="1" applyBorder="1" applyAlignment="1">
      <alignment horizontal="center" vertical="center"/>
    </xf>
    <xf numFmtId="165" fontId="0" fillId="0" borderId="36" xfId="0" applyNumberFormat="1" applyFont="1" applyBorder="1"/>
    <xf numFmtId="0" fontId="0" fillId="0" borderId="45" xfId="0" applyFont="1" applyBorder="1"/>
    <xf numFmtId="0" fontId="0" fillId="0" borderId="46" xfId="0" applyFont="1" applyBorder="1"/>
    <xf numFmtId="165" fontId="0" fillId="0" borderId="35" xfId="2" applyFont="1" applyBorder="1"/>
    <xf numFmtId="165" fontId="0" fillId="0" borderId="35" xfId="0" applyNumberFormat="1" applyFont="1" applyBorder="1" applyAlignment="1">
      <alignment horizontal="center" vertical="center"/>
    </xf>
    <xf numFmtId="165" fontId="0" fillId="0" borderId="35" xfId="0" applyNumberFormat="1" applyFont="1" applyBorder="1"/>
    <xf numFmtId="0" fontId="1" fillId="0" borderId="0" xfId="0" applyFont="1" applyBorder="1" applyAlignment="1">
      <alignment horizontal="center" vertical="center"/>
    </xf>
    <xf numFmtId="165" fontId="5" fillId="0" borderId="10" xfId="1" applyFont="1" applyBorder="1" applyAlignment="1">
      <alignment horizontal="left"/>
    </xf>
    <xf numFmtId="165" fontId="2" fillId="0" borderId="36" xfId="1" applyFont="1" applyBorder="1" applyAlignment="1">
      <alignment horizontal="center" vertical="center"/>
    </xf>
    <xf numFmtId="0" fontId="4" fillId="0" borderId="44" xfId="8" applyFont="1" applyBorder="1"/>
    <xf numFmtId="0" fontId="4" fillId="0" borderId="46" xfId="8" applyFont="1" applyBorder="1"/>
    <xf numFmtId="165" fontId="4" fillId="0" borderId="36" xfId="2" applyFont="1" applyBorder="1"/>
    <xf numFmtId="0" fontId="0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7" fontId="0" fillId="0" borderId="36" xfId="0" applyNumberFormat="1" applyFont="1" applyBorder="1" applyAlignment="1">
      <alignment horizontal="center"/>
    </xf>
    <xf numFmtId="17" fontId="0" fillId="0" borderId="35" xfId="0" applyNumberFormat="1" applyFont="1" applyBorder="1" applyAlignment="1">
      <alignment horizontal="center"/>
    </xf>
    <xf numFmtId="165" fontId="0" fillId="0" borderId="36" xfId="1" applyFont="1" applyBorder="1" applyAlignment="1">
      <alignment horizontal="center" vertical="center"/>
    </xf>
    <xf numFmtId="165" fontId="0" fillId="0" borderId="35" xfId="1" applyFont="1" applyBorder="1" applyAlignment="1">
      <alignment horizontal="center" vertical="center"/>
    </xf>
    <xf numFmtId="165" fontId="4" fillId="2" borderId="36" xfId="2" applyFont="1" applyFill="1" applyBorder="1"/>
    <xf numFmtId="165" fontId="4" fillId="2" borderId="36" xfId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165" fontId="5" fillId="0" borderId="11" xfId="1" applyFont="1" applyBorder="1" applyAlignment="1">
      <alignment horizontal="left"/>
    </xf>
    <xf numFmtId="165" fontId="1" fillId="0" borderId="10" xfId="1" applyFont="1" applyFill="1" applyBorder="1"/>
    <xf numFmtId="165" fontId="0" fillId="2" borderId="36" xfId="0" applyNumberFormat="1" applyFont="1" applyFill="1" applyBorder="1" applyAlignment="1">
      <alignment horizontal="center" vertical="center"/>
    </xf>
    <xf numFmtId="165" fontId="0" fillId="2" borderId="36" xfId="1" applyFont="1" applyFill="1" applyBorder="1" applyAlignment="1">
      <alignment horizontal="center" vertical="center"/>
    </xf>
    <xf numFmtId="165" fontId="0" fillId="2" borderId="36" xfId="0" applyNumberFormat="1" applyFont="1" applyFill="1" applyBorder="1"/>
    <xf numFmtId="165" fontId="0" fillId="2" borderId="35" xfId="0" applyNumberFormat="1" applyFont="1" applyFill="1" applyBorder="1" applyAlignment="1">
      <alignment horizontal="center" vertical="center"/>
    </xf>
    <xf numFmtId="0" fontId="4" fillId="0" borderId="44" xfId="0" applyFont="1" applyBorder="1"/>
    <xf numFmtId="0" fontId="0" fillId="2" borderId="36" xfId="0" applyFont="1" applyFill="1" applyBorder="1" applyAlignment="1">
      <alignment horizontal="center"/>
    </xf>
    <xf numFmtId="165" fontId="4" fillId="0" borderId="35" xfId="2" applyFont="1" applyBorder="1"/>
    <xf numFmtId="165" fontId="21" fillId="0" borderId="36" xfId="1" applyFont="1" applyBorder="1"/>
    <xf numFmtId="165" fontId="1" fillId="0" borderId="36" xfId="1" applyFont="1" applyBorder="1"/>
    <xf numFmtId="165" fontId="5" fillId="0" borderId="36" xfId="1" applyFont="1" applyBorder="1"/>
    <xf numFmtId="0" fontId="0" fillId="0" borderId="52" xfId="0" applyFont="1" applyBorder="1"/>
    <xf numFmtId="165" fontId="2" fillId="0" borderId="35" xfId="1" applyFont="1" applyBorder="1"/>
    <xf numFmtId="0" fontId="0" fillId="2" borderId="35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165" fontId="4" fillId="2" borderId="36" xfId="1" applyFont="1" applyFill="1" applyBorder="1" applyAlignment="1">
      <alignment horizontal="center" vertical="center"/>
    </xf>
    <xf numFmtId="0" fontId="0" fillId="2" borderId="14" xfId="0" applyFont="1" applyFill="1" applyBorder="1"/>
    <xf numFmtId="0" fontId="4" fillId="2" borderId="26" xfId="0" applyFont="1" applyFill="1" applyBorder="1"/>
    <xf numFmtId="4" fontId="4" fillId="2" borderId="36" xfId="0" applyNumberFormat="1" applyFont="1" applyFill="1" applyBorder="1"/>
    <xf numFmtId="0" fontId="4" fillId="2" borderId="36" xfId="0" applyFont="1" applyFill="1" applyBorder="1"/>
    <xf numFmtId="4" fontId="4" fillId="2" borderId="45" xfId="0" applyNumberFormat="1" applyFont="1" applyFill="1" applyBorder="1"/>
    <xf numFmtId="165" fontId="4" fillId="2" borderId="36" xfId="2" applyFont="1" applyFill="1" applyBorder="1" applyAlignment="1">
      <alignment horizontal="center"/>
    </xf>
    <xf numFmtId="0" fontId="0" fillId="2" borderId="44" xfId="0" applyFont="1" applyFill="1" applyBorder="1"/>
    <xf numFmtId="165" fontId="4" fillId="2" borderId="35" xfId="1" applyFont="1" applyFill="1" applyBorder="1" applyAlignment="1">
      <alignment horizontal="center" vertical="center"/>
    </xf>
    <xf numFmtId="0" fontId="4" fillId="2" borderId="45" xfId="0" applyFont="1" applyFill="1" applyBorder="1"/>
    <xf numFmtId="0" fontId="4" fillId="2" borderId="74" xfId="0" applyFont="1" applyFill="1" applyBorder="1" applyAlignment="1">
      <alignment horizontal="center" vertical="center"/>
    </xf>
    <xf numFmtId="165" fontId="0" fillId="2" borderId="74" xfId="1" applyFont="1" applyFill="1" applyBorder="1" applyAlignment="1">
      <alignment vertical="center"/>
    </xf>
    <xf numFmtId="165" fontId="4" fillId="2" borderId="74" xfId="2" applyFont="1" applyFill="1" applyBorder="1" applyAlignment="1">
      <alignment vertical="center"/>
    </xf>
    <xf numFmtId="165" fontId="0" fillId="2" borderId="74" xfId="1" applyFont="1" applyFill="1" applyBorder="1" applyAlignment="1">
      <alignment horizontal="center" vertical="center"/>
    </xf>
    <xf numFmtId="165" fontId="4" fillId="2" borderId="54" xfId="2" applyFont="1" applyFill="1" applyBorder="1" applyAlignment="1">
      <alignment vertical="center"/>
    </xf>
    <xf numFmtId="0" fontId="19" fillId="2" borderId="0" xfId="0" applyFont="1" applyFill="1"/>
    <xf numFmtId="0" fontId="28" fillId="2" borderId="0" xfId="0" applyFont="1" applyFill="1"/>
    <xf numFmtId="165" fontId="28" fillId="2" borderId="0" xfId="1" applyFont="1" applyFill="1"/>
    <xf numFmtId="0" fontId="18" fillId="2" borderId="0" xfId="0" applyFont="1" applyFill="1"/>
    <xf numFmtId="0" fontId="27" fillId="2" borderId="0" xfId="0" applyFont="1" applyFill="1"/>
    <xf numFmtId="0" fontId="29" fillId="2" borderId="0" xfId="0" applyFont="1" applyFill="1"/>
    <xf numFmtId="0" fontId="13" fillId="2" borderId="0" xfId="0" applyFont="1" applyFill="1"/>
    <xf numFmtId="0" fontId="20" fillId="2" borderId="0" xfId="0" applyFont="1" applyFill="1"/>
    <xf numFmtId="0" fontId="12" fillId="2" borderId="0" xfId="0" applyFont="1" applyFill="1"/>
    <xf numFmtId="0" fontId="0" fillId="2" borderId="3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9" xfId="0" applyFont="1" applyFill="1" applyBorder="1"/>
    <xf numFmtId="0" fontId="5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42" xfId="0" applyFont="1" applyFill="1" applyBorder="1"/>
    <xf numFmtId="1" fontId="4" fillId="2" borderId="7" xfId="8" applyNumberFormat="1" applyFont="1" applyFill="1" applyBorder="1" applyAlignment="1">
      <alignment horizontal="center"/>
    </xf>
    <xf numFmtId="39" fontId="1" fillId="2" borderId="7" xfId="1" applyNumberFormat="1" applyFont="1" applyFill="1" applyBorder="1"/>
    <xf numFmtId="165" fontId="0" fillId="2" borderId="0" xfId="0" applyNumberFormat="1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165" fontId="5" fillId="2" borderId="7" xfId="1" applyFont="1" applyFill="1" applyBorder="1"/>
    <xf numFmtId="165" fontId="1" fillId="2" borderId="8" xfId="1" applyFont="1" applyFill="1" applyBorder="1"/>
    <xf numFmtId="0" fontId="1" fillId="2" borderId="1" xfId="0" applyFont="1" applyFill="1" applyBorder="1"/>
    <xf numFmtId="0" fontId="0" fillId="2" borderId="2" xfId="0" applyFont="1" applyFill="1" applyBorder="1" applyAlignment="1">
      <alignment horizontal="center"/>
    </xf>
    <xf numFmtId="165" fontId="5" fillId="2" borderId="2" xfId="1" applyFont="1" applyFill="1" applyBorder="1"/>
    <xf numFmtId="165" fontId="1" fillId="2" borderId="2" xfId="1" applyFont="1" applyFill="1" applyBorder="1"/>
    <xf numFmtId="165" fontId="1" fillId="2" borderId="0" xfId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165" fontId="5" fillId="2" borderId="0" xfId="1" applyFont="1" applyFill="1" applyBorder="1"/>
    <xf numFmtId="0" fontId="0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5" fontId="19" fillId="2" borderId="0" xfId="1" applyFont="1" applyFill="1"/>
    <xf numFmtId="165" fontId="4" fillId="2" borderId="0" xfId="1" applyFont="1" applyFill="1"/>
    <xf numFmtId="165" fontId="19" fillId="2" borderId="0" xfId="0" applyNumberFormat="1" applyFont="1" applyFill="1"/>
    <xf numFmtId="0" fontId="0" fillId="2" borderId="0" xfId="0" applyFill="1"/>
    <xf numFmtId="0" fontId="0" fillId="2" borderId="78" xfId="0" applyFill="1" applyBorder="1" applyAlignment="1">
      <alignment horizontal="center"/>
    </xf>
    <xf numFmtId="165" fontId="0" fillId="2" borderId="54" xfId="1" applyFont="1" applyFill="1" applyBorder="1" applyAlignment="1">
      <alignment vertical="center"/>
    </xf>
    <xf numFmtId="165" fontId="0" fillId="2" borderId="54" xfId="1" applyFont="1" applyFill="1" applyBorder="1"/>
    <xf numFmtId="0" fontId="4" fillId="2" borderId="5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 wrapText="1"/>
    </xf>
    <xf numFmtId="165" fontId="0" fillId="2" borderId="54" xfId="0" applyNumberFormat="1" applyFont="1" applyFill="1" applyBorder="1" applyAlignment="1">
      <alignment vertical="center"/>
    </xf>
    <xf numFmtId="165" fontId="0" fillId="2" borderId="54" xfId="0" applyNumberFormat="1" applyFont="1" applyFill="1" applyBorder="1"/>
    <xf numFmtId="0" fontId="0" fillId="2" borderId="45" xfId="0" applyFill="1" applyBorder="1"/>
    <xf numFmtId="0" fontId="0" fillId="2" borderId="54" xfId="0" applyFont="1" applyFill="1" applyBorder="1" applyAlignment="1">
      <alignment horizontal="center" vertical="center"/>
    </xf>
    <xf numFmtId="165" fontId="0" fillId="2" borderId="54" xfId="1" applyFont="1" applyFill="1" applyBorder="1" applyAlignment="1">
      <alignment horizontal="center"/>
    </xf>
    <xf numFmtId="165" fontId="2" fillId="2" borderId="54" xfId="1" applyFont="1" applyFill="1" applyBorder="1"/>
    <xf numFmtId="0" fontId="5" fillId="2" borderId="2" xfId="0" applyFont="1" applyFill="1" applyBorder="1" applyAlignment="1">
      <alignment horizontal="center" vertical="center"/>
    </xf>
    <xf numFmtId="0" fontId="0" fillId="2" borderId="45" xfId="0" applyFont="1" applyFill="1" applyBorder="1"/>
    <xf numFmtId="0" fontId="4" fillId="2" borderId="45" xfId="8" applyFont="1" applyFill="1" applyBorder="1"/>
    <xf numFmtId="0" fontId="23" fillId="2" borderId="45" xfId="8" applyFont="1" applyFill="1" applyBorder="1"/>
    <xf numFmtId="0" fontId="4" fillId="2" borderId="52" xfId="8" applyFont="1" applyFill="1" applyBorder="1"/>
    <xf numFmtId="0" fontId="0" fillId="2" borderId="45" xfId="0" applyFont="1" applyFill="1" applyBorder="1" applyAlignment="1">
      <alignment wrapText="1"/>
    </xf>
    <xf numFmtId="0" fontId="0" fillId="2" borderId="45" xfId="0" applyFont="1" applyFill="1" applyBorder="1" applyAlignment="1">
      <alignment horizontal="justify" vertical="center"/>
    </xf>
    <xf numFmtId="0" fontId="0" fillId="2" borderId="52" xfId="0" applyFont="1" applyFill="1" applyBorder="1"/>
    <xf numFmtId="0" fontId="1" fillId="2" borderId="18" xfId="0" applyFont="1" applyFill="1" applyBorder="1" applyAlignment="1">
      <alignment horizontal="center" vertical="center"/>
    </xf>
    <xf numFmtId="165" fontId="21" fillId="2" borderId="18" xfId="1" applyFont="1" applyFill="1" applyBorder="1" applyAlignment="1">
      <alignment horizontal="center" vertical="center"/>
    </xf>
    <xf numFmtId="39" fontId="0" fillId="2" borderId="36" xfId="1" applyNumberFormat="1" applyFont="1" applyFill="1" applyBorder="1"/>
    <xf numFmtId="39" fontId="4" fillId="2" borderId="36" xfId="0" applyNumberFormat="1" applyFont="1" applyFill="1" applyBorder="1"/>
    <xf numFmtId="39" fontId="4" fillId="2" borderId="36" xfId="1" applyNumberFormat="1" applyFont="1" applyFill="1" applyBorder="1"/>
    <xf numFmtId="1" fontId="4" fillId="2" borderId="36" xfId="8" applyNumberFormat="1" applyFont="1" applyFill="1" applyBorder="1" applyAlignment="1">
      <alignment horizontal="center"/>
    </xf>
    <xf numFmtId="167" fontId="4" fillId="2" borderId="36" xfId="0" applyNumberFormat="1" applyFont="1" applyFill="1" applyBorder="1"/>
    <xf numFmtId="1" fontId="4" fillId="2" borderId="35" xfId="8" applyNumberFormat="1" applyFont="1" applyFill="1" applyBorder="1" applyAlignment="1">
      <alignment horizontal="center"/>
    </xf>
    <xf numFmtId="39" fontId="0" fillId="2" borderId="35" xfId="1" applyNumberFormat="1" applyFont="1" applyFill="1" applyBorder="1"/>
    <xf numFmtId="165" fontId="4" fillId="2" borderId="35" xfId="2" applyFont="1" applyFill="1" applyBorder="1" applyAlignment="1">
      <alignment horizontal="center"/>
    </xf>
    <xf numFmtId="39" fontId="4" fillId="2" borderId="35" xfId="0" applyNumberFormat="1" applyFont="1" applyFill="1" applyBorder="1"/>
    <xf numFmtId="0" fontId="0" fillId="2" borderId="18" xfId="0" applyFont="1" applyFill="1" applyBorder="1"/>
    <xf numFmtId="165" fontId="19" fillId="2" borderId="18" xfId="1" applyFont="1" applyFill="1" applyBorder="1"/>
    <xf numFmtId="165" fontId="0" fillId="2" borderId="36" xfId="1" applyFont="1" applyFill="1" applyBorder="1"/>
    <xf numFmtId="165" fontId="0" fillId="2" borderId="36" xfId="2" applyFont="1" applyFill="1" applyBorder="1"/>
    <xf numFmtId="165" fontId="0" fillId="2" borderId="36" xfId="2" applyFont="1" applyFill="1" applyBorder="1" applyAlignment="1">
      <alignment horizontal="center"/>
    </xf>
    <xf numFmtId="165" fontId="0" fillId="2" borderId="35" xfId="1" applyFont="1" applyFill="1" applyBorder="1"/>
    <xf numFmtId="165" fontId="0" fillId="2" borderId="35" xfId="2" applyFont="1" applyFill="1" applyBorder="1" applyAlignment="1">
      <alignment horizontal="center"/>
    </xf>
    <xf numFmtId="165" fontId="0" fillId="2" borderId="35" xfId="0" applyNumberFormat="1" applyFont="1" applyFill="1" applyBorder="1"/>
    <xf numFmtId="165" fontId="4" fillId="2" borderId="36" xfId="1" applyFont="1" applyFill="1" applyBorder="1"/>
    <xf numFmtId="165" fontId="2" fillId="2" borderId="36" xfId="1" applyFont="1" applyFill="1" applyBorder="1"/>
    <xf numFmtId="0" fontId="0" fillId="2" borderId="36" xfId="0" applyFont="1" applyFill="1" applyBorder="1" applyAlignment="1">
      <alignment horizontal="center" vertical="center"/>
    </xf>
    <xf numFmtId="17" fontId="0" fillId="2" borderId="36" xfId="0" applyNumberFormat="1" applyFont="1" applyFill="1" applyBorder="1" applyAlignment="1">
      <alignment horizontal="center"/>
    </xf>
    <xf numFmtId="165" fontId="4" fillId="2" borderId="35" xfId="1" applyFont="1" applyFill="1" applyBorder="1"/>
    <xf numFmtId="165" fontId="2" fillId="2" borderId="35" xfId="1" applyFont="1" applyFill="1" applyBorder="1"/>
    <xf numFmtId="0" fontId="0" fillId="2" borderId="7" xfId="0" applyFont="1" applyFill="1" applyBorder="1"/>
    <xf numFmtId="0" fontId="1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8" fillId="2" borderId="0" xfId="0" applyFont="1" applyFill="1" applyAlignment="1"/>
    <xf numFmtId="0" fontId="37" fillId="2" borderId="0" xfId="0" applyFont="1" applyFill="1" applyAlignment="1">
      <alignment horizontal="center"/>
    </xf>
    <xf numFmtId="0" fontId="29" fillId="2" borderId="0" xfId="3" applyFont="1" applyFill="1"/>
    <xf numFmtId="0" fontId="1" fillId="2" borderId="84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left" vertical="center" wrapText="1"/>
    </xf>
    <xf numFmtId="165" fontId="1" fillId="2" borderId="81" xfId="1" applyFont="1" applyFill="1" applyBorder="1" applyAlignment="1">
      <alignment horizontal="center" vertical="center"/>
    </xf>
    <xf numFmtId="165" fontId="1" fillId="2" borderId="24" xfId="1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left" vertical="center" wrapText="1"/>
    </xf>
    <xf numFmtId="165" fontId="1" fillId="2" borderId="100" xfId="1" applyFont="1" applyFill="1" applyBorder="1" applyAlignment="1">
      <alignment horizontal="center" vertical="center"/>
    </xf>
    <xf numFmtId="165" fontId="1" fillId="2" borderId="101" xfId="1" applyFont="1" applyFill="1" applyBorder="1" applyAlignment="1">
      <alignment horizontal="center" vertical="center"/>
    </xf>
    <xf numFmtId="0" fontId="0" fillId="2" borderId="22" xfId="0" applyFill="1" applyBorder="1" applyAlignment="1">
      <alignment wrapText="1"/>
    </xf>
    <xf numFmtId="165" fontId="1" fillId="2" borderId="22" xfId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wrapText="1"/>
    </xf>
    <xf numFmtId="165" fontId="2" fillId="2" borderId="22" xfId="1" applyFont="1" applyFill="1" applyBorder="1" applyAlignment="1">
      <alignment horizontal="center" vertical="center"/>
    </xf>
    <xf numFmtId="165" fontId="4" fillId="2" borderId="22" xfId="1" applyFont="1" applyFill="1" applyBorder="1"/>
    <xf numFmtId="165" fontId="0" fillId="2" borderId="22" xfId="1" applyFont="1" applyFill="1" applyBorder="1"/>
    <xf numFmtId="0" fontId="0" fillId="2" borderId="84" xfId="0" applyFill="1" applyBorder="1" applyAlignment="1">
      <alignment horizontal="left" wrapText="1"/>
    </xf>
    <xf numFmtId="165" fontId="2" fillId="2" borderId="84" xfId="1" applyFont="1" applyFill="1" applyBorder="1" applyAlignment="1">
      <alignment horizontal="center" vertical="center"/>
    </xf>
    <xf numFmtId="165" fontId="0" fillId="2" borderId="84" xfId="1" applyFont="1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10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wrapText="1"/>
    </xf>
    <xf numFmtId="165" fontId="1" fillId="2" borderId="25" xfId="1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left" wrapText="1"/>
    </xf>
    <xf numFmtId="165" fontId="1" fillId="2" borderId="103" xfId="1" applyFont="1" applyFill="1" applyBorder="1"/>
    <xf numFmtId="0" fontId="1" fillId="2" borderId="10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165" fontId="2" fillId="2" borderId="48" xfId="1" applyFont="1" applyFill="1" applyBorder="1" applyAlignment="1">
      <alignment horizontal="center" vertical="center"/>
    </xf>
    <xf numFmtId="165" fontId="0" fillId="2" borderId="105" xfId="1" applyFont="1" applyFill="1" applyBorder="1"/>
    <xf numFmtId="0" fontId="1" fillId="2" borderId="22" xfId="0" applyFont="1" applyFill="1" applyBorder="1" applyAlignment="1">
      <alignment horizontal="left" vertical="center" wrapText="1"/>
    </xf>
    <xf numFmtId="0" fontId="1" fillId="2" borderId="106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wrapText="1"/>
    </xf>
    <xf numFmtId="165" fontId="2" fillId="2" borderId="25" xfId="1" applyFont="1" applyFill="1" applyBorder="1" applyAlignment="1">
      <alignment horizontal="center" vertical="center"/>
    </xf>
    <xf numFmtId="165" fontId="0" fillId="2" borderId="25" xfId="1" applyFont="1" applyFill="1" applyBorder="1"/>
    <xf numFmtId="0" fontId="1" fillId="2" borderId="107" xfId="0" applyFont="1" applyFill="1" applyBorder="1" applyAlignment="1">
      <alignment horizontal="center" vertical="center"/>
    </xf>
    <xf numFmtId="0" fontId="1" fillId="2" borderId="108" xfId="0" applyFont="1" applyFill="1" applyBorder="1" applyAlignment="1">
      <alignment horizontal="center" vertical="center" wrapText="1"/>
    </xf>
    <xf numFmtId="0" fontId="1" fillId="2" borderId="107" xfId="0" applyFont="1" applyFill="1" applyBorder="1" applyAlignment="1">
      <alignment horizontal="left" wrapText="1"/>
    </xf>
    <xf numFmtId="165" fontId="1" fillId="2" borderId="107" xfId="1" applyFont="1" applyFill="1" applyBorder="1"/>
    <xf numFmtId="165" fontId="1" fillId="2" borderId="48" xfId="1" applyFont="1" applyFill="1" applyBorder="1" applyAlignment="1">
      <alignment horizontal="center" vertical="center"/>
    </xf>
    <xf numFmtId="165" fontId="1" fillId="2" borderId="48" xfId="1" applyFont="1" applyFill="1" applyBorder="1"/>
    <xf numFmtId="165" fontId="1" fillId="2" borderId="22" xfId="1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wrapText="1"/>
    </xf>
    <xf numFmtId="165" fontId="1" fillId="2" borderId="25" xfId="1" applyFont="1" applyFill="1" applyBorder="1" applyAlignment="1">
      <alignment horizontal="center" vertical="center"/>
    </xf>
    <xf numFmtId="0" fontId="1" fillId="2" borderId="105" xfId="0" applyFont="1" applyFill="1" applyBorder="1" applyAlignment="1">
      <alignment horizontal="center" vertical="center"/>
    </xf>
    <xf numFmtId="165" fontId="1" fillId="2" borderId="105" xfId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 wrapText="1"/>
    </xf>
    <xf numFmtId="0" fontId="1" fillId="2" borderId="109" xfId="0" applyFont="1" applyFill="1" applyBorder="1" applyAlignment="1">
      <alignment horizontal="center" vertical="center" wrapText="1"/>
    </xf>
    <xf numFmtId="0" fontId="1" fillId="2" borderId="106" xfId="0" applyFont="1" applyFill="1" applyBorder="1" applyAlignment="1">
      <alignment horizontal="left" vertical="center" wrapText="1"/>
    </xf>
    <xf numFmtId="165" fontId="1" fillId="2" borderId="106" xfId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165" fontId="0" fillId="2" borderId="0" xfId="0" applyNumberFormat="1" applyFill="1" applyAlignment="1">
      <alignment horizontal="center" vertical="center"/>
    </xf>
    <xf numFmtId="0" fontId="0" fillId="2" borderId="22" xfId="0" applyFont="1" applyFill="1" applyBorder="1"/>
    <xf numFmtId="165" fontId="2" fillId="2" borderId="22" xfId="1" applyFont="1" applyFill="1" applyBorder="1"/>
    <xf numFmtId="0" fontId="1" fillId="2" borderId="102" xfId="0" applyFont="1" applyFill="1" applyBorder="1" applyAlignment="1">
      <alignment horizontal="center" vertical="center"/>
    </xf>
    <xf numFmtId="0" fontId="1" fillId="2" borderId="110" xfId="0" applyFont="1" applyFill="1" applyBorder="1" applyAlignment="1">
      <alignment horizontal="center" vertical="center"/>
    </xf>
    <xf numFmtId="0" fontId="1" fillId="2" borderId="111" xfId="0" applyFont="1" applyFill="1" applyBorder="1" applyAlignment="1">
      <alignment wrapText="1"/>
    </xf>
    <xf numFmtId="165" fontId="1" fillId="2" borderId="107" xfId="1" applyFont="1" applyFill="1" applyBorder="1" applyAlignment="1">
      <alignment horizontal="center" vertical="center"/>
    </xf>
    <xf numFmtId="0" fontId="1" fillId="2" borderId="111" xfId="0" applyFont="1" applyFill="1" applyBorder="1" applyAlignment="1">
      <alignment horizontal="left" wrapText="1"/>
    </xf>
    <xf numFmtId="0" fontId="1" fillId="2" borderId="106" xfId="0" applyFont="1" applyFill="1" applyBorder="1"/>
    <xf numFmtId="0" fontId="1" fillId="2" borderId="112" xfId="0" applyFont="1" applyFill="1" applyBorder="1"/>
    <xf numFmtId="165" fontId="1" fillId="2" borderId="113" xfId="1" applyFont="1" applyFill="1" applyBorder="1"/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1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1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 wrapText="1"/>
    </xf>
    <xf numFmtId="165" fontId="1" fillId="2" borderId="2" xfId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65" fontId="1" fillId="2" borderId="36" xfId="1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wrapText="1"/>
    </xf>
    <xf numFmtId="165" fontId="2" fillId="2" borderId="100" xfId="1" applyFont="1" applyFill="1" applyBorder="1" applyAlignment="1">
      <alignment horizontal="center" vertical="center"/>
    </xf>
    <xf numFmtId="165" fontId="4" fillId="2" borderId="100" xfId="1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44" xfId="0" applyFill="1" applyBorder="1" applyAlignment="1">
      <alignment wrapText="1"/>
    </xf>
    <xf numFmtId="0" fontId="0" fillId="2" borderId="36" xfId="0" applyFill="1" applyBorder="1" applyAlignment="1">
      <alignment horizontal="center" wrapText="1"/>
    </xf>
    <xf numFmtId="165" fontId="2" fillId="2" borderId="36" xfId="1" applyFont="1" applyFill="1" applyBorder="1" applyAlignment="1">
      <alignment horizontal="center" vertical="center"/>
    </xf>
    <xf numFmtId="0" fontId="0" fillId="2" borderId="44" xfId="0" applyFill="1" applyBorder="1" applyAlignment="1">
      <alignment horizontal="left" wrapText="1"/>
    </xf>
    <xf numFmtId="0" fontId="1" fillId="2" borderId="116" xfId="0" applyFont="1" applyFill="1" applyBorder="1" applyAlignment="1">
      <alignment horizontal="center" wrapText="1"/>
    </xf>
    <xf numFmtId="165" fontId="5" fillId="2" borderId="116" xfId="1" applyFont="1" applyFill="1" applyBorder="1"/>
    <xf numFmtId="0" fontId="1" fillId="2" borderId="100" xfId="0" applyFont="1" applyFill="1" applyBorder="1" applyAlignment="1">
      <alignment horizontal="left" vertical="center"/>
    </xf>
    <xf numFmtId="0" fontId="1" fillId="2" borderId="100" xfId="0" applyFont="1" applyFill="1" applyBorder="1" applyAlignment="1">
      <alignment wrapText="1"/>
    </xf>
    <xf numFmtId="165" fontId="2" fillId="2" borderId="36" xfId="1" applyFont="1" applyFill="1" applyBorder="1" applyAlignment="1">
      <alignment vertical="center"/>
    </xf>
    <xf numFmtId="165" fontId="2" fillId="2" borderId="36" xfId="1" applyFont="1" applyFill="1" applyBorder="1" applyAlignment="1">
      <alignment vertical="center" wrapText="1"/>
    </xf>
    <xf numFmtId="0" fontId="1" fillId="2" borderId="61" xfId="0" applyFont="1" applyFill="1" applyBorder="1" applyAlignment="1">
      <alignment horizontal="center" vertical="center"/>
    </xf>
    <xf numFmtId="0" fontId="0" fillId="2" borderId="46" xfId="0" applyFill="1" applyBorder="1" applyAlignment="1">
      <alignment wrapText="1"/>
    </xf>
    <xf numFmtId="0" fontId="0" fillId="2" borderId="116" xfId="0" applyFill="1" applyBorder="1" applyAlignment="1">
      <alignment horizontal="center" wrapText="1"/>
    </xf>
    <xf numFmtId="0" fontId="0" fillId="2" borderId="100" xfId="0" applyFill="1" applyBorder="1"/>
    <xf numFmtId="0" fontId="0" fillId="2" borderId="1" xfId="0" applyFont="1" applyFill="1" applyBorder="1" applyAlignment="1">
      <alignment horizontal="center" vertical="center"/>
    </xf>
    <xf numFmtId="165" fontId="1" fillId="2" borderId="116" xfId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wrapText="1"/>
    </xf>
    <xf numFmtId="0" fontId="4" fillId="2" borderId="36" xfId="0" applyFont="1" applyFill="1" applyBorder="1" applyAlignment="1">
      <alignment horizontal="center"/>
    </xf>
    <xf numFmtId="165" fontId="25" fillId="2" borderId="116" xfId="1" applyFont="1" applyFill="1" applyBorder="1" applyAlignment="1">
      <alignment horizontal="center" vertical="center"/>
    </xf>
    <xf numFmtId="0" fontId="1" fillId="2" borderId="118" xfId="0" applyFont="1" applyFill="1" applyBorder="1" applyAlignment="1">
      <alignment horizontal="center" vertical="center"/>
    </xf>
    <xf numFmtId="0" fontId="1" fillId="2" borderId="119" xfId="0" applyFont="1" applyFill="1" applyBorder="1" applyAlignment="1">
      <alignment horizontal="left" vertical="center"/>
    </xf>
    <xf numFmtId="0" fontId="1" fillId="2" borderId="119" xfId="0" applyFont="1" applyFill="1" applyBorder="1" applyAlignment="1">
      <alignment wrapText="1"/>
    </xf>
    <xf numFmtId="0" fontId="1" fillId="2" borderId="119" xfId="0" applyFont="1" applyFill="1" applyBorder="1" applyAlignment="1">
      <alignment horizontal="center" wrapText="1"/>
    </xf>
    <xf numFmtId="165" fontId="1" fillId="2" borderId="119" xfId="1" applyFont="1" applyFill="1" applyBorder="1" applyAlignment="1">
      <alignment horizontal="center" vertical="center"/>
    </xf>
    <xf numFmtId="165" fontId="5" fillId="2" borderId="119" xfId="1" applyFont="1" applyFill="1" applyBorder="1"/>
    <xf numFmtId="0" fontId="1" fillId="2" borderId="12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5" fontId="1" fillId="2" borderId="1" xfId="1" applyFont="1" applyFill="1" applyBorder="1" applyAlignment="1">
      <alignment horizontal="center" vertical="center"/>
    </xf>
    <xf numFmtId="165" fontId="5" fillId="2" borderId="1" xfId="1" applyFont="1" applyFill="1" applyBorder="1"/>
    <xf numFmtId="0" fontId="4" fillId="2" borderId="44" xfId="0" applyFont="1" applyFill="1" applyBorder="1" applyAlignment="1">
      <alignment horizontal="left" vertical="center"/>
    </xf>
    <xf numFmtId="165" fontId="4" fillId="2" borderId="36" xfId="2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165" fontId="35" fillId="2" borderId="36" xfId="2" applyFont="1" applyFill="1" applyBorder="1" applyAlignment="1">
      <alignment vertical="center"/>
    </xf>
    <xf numFmtId="165" fontId="33" fillId="2" borderId="36" xfId="1" applyFont="1" applyFill="1" applyBorder="1" applyAlignment="1">
      <alignment horizontal="center" vertical="center"/>
    </xf>
    <xf numFmtId="165" fontId="26" fillId="2" borderId="36" xfId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121" xfId="0" applyFont="1" applyFill="1" applyBorder="1" applyAlignment="1">
      <alignment horizontal="center" vertical="center" wrapText="1"/>
    </xf>
    <xf numFmtId="0" fontId="1" fillId="2" borderId="122" xfId="0" applyFont="1" applyFill="1" applyBorder="1" applyAlignment="1">
      <alignment horizontal="center" wrapText="1"/>
    </xf>
    <xf numFmtId="165" fontId="1" fillId="2" borderId="122" xfId="1" applyFont="1" applyFill="1" applyBorder="1" applyAlignment="1">
      <alignment horizontal="center" vertical="center"/>
    </xf>
    <xf numFmtId="165" fontId="2" fillId="2" borderId="122" xfId="1" applyFont="1" applyFill="1" applyBorder="1" applyAlignment="1">
      <alignment horizontal="center" vertical="center"/>
    </xf>
    <xf numFmtId="0" fontId="1" fillId="2" borderId="118" xfId="0" applyFont="1" applyFill="1" applyBorder="1"/>
    <xf numFmtId="0" fontId="1" fillId="2" borderId="119" xfId="0" applyFont="1" applyFill="1" applyBorder="1" applyAlignment="1">
      <alignment horizontal="center"/>
    </xf>
    <xf numFmtId="165" fontId="1" fillId="2" borderId="119" xfId="1" applyFont="1" applyFill="1" applyBorder="1"/>
    <xf numFmtId="165" fontId="28" fillId="2" borderId="0" xfId="0" applyNumberFormat="1" applyFont="1" applyFill="1"/>
    <xf numFmtId="165" fontId="28" fillId="2" borderId="0" xfId="1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165" fontId="2" fillId="2" borderId="0" xfId="1" applyFont="1" applyFill="1"/>
    <xf numFmtId="0" fontId="37" fillId="2" borderId="20" xfId="0" applyFont="1" applyFill="1" applyBorder="1"/>
    <xf numFmtId="0" fontId="0" fillId="2" borderId="20" xfId="0" applyFill="1" applyBorder="1"/>
    <xf numFmtId="0" fontId="0" fillId="2" borderId="3" xfId="0" applyFill="1" applyBorder="1"/>
    <xf numFmtId="0" fontId="1" fillId="2" borderId="5" xfId="0" applyFont="1" applyFill="1" applyBorder="1"/>
    <xf numFmtId="0" fontId="0" fillId="2" borderId="8" xfId="0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26" xfId="0" applyFill="1" applyBorder="1"/>
    <xf numFmtId="0" fontId="0" fillId="2" borderId="24" xfId="0" applyFill="1" applyBorder="1"/>
    <xf numFmtId="0" fontId="0" fillId="2" borderId="22" xfId="0" applyFill="1" applyBorder="1" applyAlignment="1">
      <alignment horizontal="center"/>
    </xf>
    <xf numFmtId="165" fontId="0" fillId="2" borderId="22" xfId="1" applyFont="1" applyFill="1" applyBorder="1" applyAlignment="1">
      <alignment horizontal="center"/>
    </xf>
    <xf numFmtId="165" fontId="0" fillId="2" borderId="23" xfId="1" applyFont="1" applyFill="1" applyBorder="1"/>
    <xf numFmtId="0" fontId="1" fillId="2" borderId="26" xfId="0" applyFont="1" applyFill="1" applyBorder="1" applyAlignment="1">
      <alignment horizontal="left"/>
    </xf>
    <xf numFmtId="0" fontId="0" fillId="2" borderId="24" xfId="0" applyFill="1" applyBorder="1" applyAlignment="1">
      <alignment wrapText="1"/>
    </xf>
    <xf numFmtId="3" fontId="0" fillId="2" borderId="0" xfId="0" applyNumberFormat="1" applyFill="1"/>
    <xf numFmtId="0" fontId="4" fillId="2" borderId="56" xfId="0" applyFont="1" applyFill="1" applyBorder="1" applyAlignment="1">
      <alignment horizontal="center" vertical="center"/>
    </xf>
    <xf numFmtId="0" fontId="1" fillId="2" borderId="26" xfId="0" applyFont="1" applyFill="1" applyBorder="1"/>
    <xf numFmtId="0" fontId="0" fillId="2" borderId="130" xfId="0" applyFill="1" applyBorder="1"/>
    <xf numFmtId="0" fontId="1" fillId="2" borderId="131" xfId="0" applyFont="1" applyFill="1" applyBorder="1"/>
    <xf numFmtId="0" fontId="0" fillId="2" borderId="131" xfId="0" applyFill="1" applyBorder="1"/>
    <xf numFmtId="165" fontId="1" fillId="2" borderId="131" xfId="0" applyNumberFormat="1" applyFont="1" applyFill="1" applyBorder="1"/>
    <xf numFmtId="10" fontId="0" fillId="2" borderId="0" xfId="36" applyNumberFormat="1" applyFont="1" applyFill="1"/>
    <xf numFmtId="0" fontId="18" fillId="2" borderId="20" xfId="0" applyFont="1" applyFill="1" applyBorder="1"/>
    <xf numFmtId="0" fontId="28" fillId="2" borderId="20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" xfId="0" applyFont="1" applyFill="1" applyBorder="1"/>
    <xf numFmtId="0" fontId="1" fillId="2" borderId="36" xfId="0" applyFont="1" applyFill="1" applyBorder="1"/>
    <xf numFmtId="165" fontId="0" fillId="2" borderId="36" xfId="1" applyFont="1" applyFill="1" applyBorder="1" applyAlignment="1">
      <alignment horizontal="center"/>
    </xf>
    <xf numFmtId="165" fontId="0" fillId="2" borderId="44" xfId="1" applyFont="1" applyFill="1" applyBorder="1"/>
    <xf numFmtId="0" fontId="0" fillId="2" borderId="36" xfId="0" applyFont="1" applyFill="1" applyBorder="1"/>
    <xf numFmtId="0" fontId="1" fillId="2" borderId="36" xfId="0" applyFont="1" applyFill="1" applyBorder="1" applyAlignment="1">
      <alignment horizontal="center"/>
    </xf>
    <xf numFmtId="165" fontId="1" fillId="2" borderId="36" xfId="1" applyFont="1" applyFill="1" applyBorder="1" applyAlignment="1">
      <alignment horizontal="center"/>
    </xf>
    <xf numFmtId="165" fontId="1" fillId="2" borderId="36" xfId="0" applyNumberFormat="1" applyFont="1" applyFill="1" applyBorder="1"/>
    <xf numFmtId="165" fontId="1" fillId="2" borderId="36" xfId="1" applyFont="1" applyFill="1" applyBorder="1"/>
    <xf numFmtId="165" fontId="1" fillId="2" borderId="44" xfId="1" applyFont="1" applyFill="1" applyBorder="1"/>
    <xf numFmtId="165" fontId="0" fillId="2" borderId="21" xfId="1" applyFont="1" applyFill="1" applyBorder="1" applyAlignment="1">
      <alignment horizontal="center" vertical="center"/>
    </xf>
    <xf numFmtId="165" fontId="0" fillId="2" borderId="1" xfId="1" applyFont="1" applyFill="1" applyBorder="1" applyAlignment="1">
      <alignment horizontal="center"/>
    </xf>
    <xf numFmtId="165" fontId="0" fillId="2" borderId="14" xfId="1" applyFont="1" applyFill="1" applyBorder="1"/>
    <xf numFmtId="165" fontId="0" fillId="2" borderId="1" xfId="1" applyFont="1" applyFill="1" applyBorder="1"/>
    <xf numFmtId="0" fontId="17" fillId="2" borderId="36" xfId="0" applyFont="1" applyFill="1" applyBorder="1"/>
    <xf numFmtId="0" fontId="0" fillId="2" borderId="36" xfId="0" applyFont="1" applyFill="1" applyBorder="1" applyAlignment="1">
      <alignment wrapText="1"/>
    </xf>
    <xf numFmtId="165" fontId="2" fillId="2" borderId="7" xfId="1" applyFont="1" applyFill="1" applyBorder="1" applyAlignment="1">
      <alignment horizontal="center" vertical="center"/>
    </xf>
    <xf numFmtId="0" fontId="0" fillId="2" borderId="11" xfId="0" applyFont="1" applyFill="1" applyBorder="1"/>
    <xf numFmtId="165" fontId="1" fillId="2" borderId="11" xfId="0" applyNumberFormat="1" applyFont="1" applyFill="1" applyBorder="1"/>
    <xf numFmtId="165" fontId="2" fillId="2" borderId="54" xfId="1" applyFont="1" applyFill="1" applyBorder="1" applyAlignment="1">
      <alignment horizontal="center" vertical="center"/>
    </xf>
    <xf numFmtId="0" fontId="0" fillId="2" borderId="74" xfId="0" applyFont="1" applyFill="1" applyBorder="1" applyAlignment="1">
      <alignment horizontal="center" vertical="center"/>
    </xf>
    <xf numFmtId="0" fontId="1" fillId="2" borderId="138" xfId="0" applyFont="1" applyFill="1" applyBorder="1"/>
    <xf numFmtId="0" fontId="0" fillId="2" borderId="71" xfId="0" applyFont="1" applyFill="1" applyBorder="1" applyAlignment="1">
      <alignment horizontal="center" vertical="center"/>
    </xf>
    <xf numFmtId="165" fontId="2" fillId="2" borderId="81" xfId="1" applyFont="1" applyFill="1" applyBorder="1" applyAlignment="1">
      <alignment horizontal="center" vertical="center"/>
    </xf>
    <xf numFmtId="165" fontId="0" fillId="2" borderId="48" xfId="1" applyFont="1" applyFill="1" applyBorder="1" applyAlignment="1">
      <alignment horizontal="center" vertical="center" wrapText="1"/>
    </xf>
    <xf numFmtId="165" fontId="0" fillId="2" borderId="48" xfId="1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1" fillId="2" borderId="33" xfId="0" applyFont="1" applyFill="1" applyBorder="1"/>
    <xf numFmtId="0" fontId="1" fillId="2" borderId="67" xfId="0" applyFont="1" applyFill="1" applyBorder="1"/>
    <xf numFmtId="0" fontId="1" fillId="2" borderId="73" xfId="0" applyFont="1" applyFill="1" applyBorder="1" applyAlignment="1">
      <alignment horizontal="center" vertical="center"/>
    </xf>
    <xf numFmtId="165" fontId="0" fillId="2" borderId="54" xfId="1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/>
    </xf>
    <xf numFmtId="0" fontId="4" fillId="2" borderId="45" xfId="0" applyFont="1" applyFill="1" applyBorder="1" applyAlignment="1">
      <alignment vertical="center"/>
    </xf>
    <xf numFmtId="0" fontId="16" fillId="2" borderId="45" xfId="0" applyFont="1" applyFill="1" applyBorder="1" applyAlignment="1">
      <alignment vertical="center" wrapText="1"/>
    </xf>
    <xf numFmtId="0" fontId="1" fillId="2" borderId="45" xfId="0" applyFont="1" applyFill="1" applyBorder="1"/>
    <xf numFmtId="165" fontId="0" fillId="2" borderId="54" xfId="0" applyNumberFormat="1" applyFont="1" applyFill="1" applyBorder="1" applyAlignment="1">
      <alignment vertical="center" wrapText="1"/>
    </xf>
    <xf numFmtId="165" fontId="0" fillId="2" borderId="54" xfId="1" applyFont="1" applyFill="1" applyBorder="1" applyAlignment="1">
      <alignment vertical="center" wrapText="1"/>
    </xf>
    <xf numFmtId="0" fontId="4" fillId="2" borderId="63" xfId="0" applyFont="1" applyFill="1" applyBorder="1" applyAlignment="1">
      <alignment horizontal="center"/>
    </xf>
    <xf numFmtId="0" fontId="4" fillId="2" borderId="45" xfId="8" applyFont="1" applyFill="1" applyBorder="1" applyAlignment="1"/>
    <xf numFmtId="0" fontId="0" fillId="2" borderId="76" xfId="0" applyFont="1" applyFill="1" applyBorder="1" applyAlignment="1">
      <alignment horizontal="center"/>
    </xf>
    <xf numFmtId="165" fontId="2" fillId="2" borderId="0" xfId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4" fillId="2" borderId="45" xfId="0" applyFont="1" applyFill="1" applyBorder="1" applyAlignment="1">
      <alignment horizontal="left" vertical="center"/>
    </xf>
    <xf numFmtId="0" fontId="0" fillId="2" borderId="61" xfId="0" applyFont="1" applyFill="1" applyBorder="1"/>
    <xf numFmtId="0" fontId="0" fillId="2" borderId="68" xfId="0" applyFill="1" applyBorder="1" applyAlignment="1">
      <alignment vertical="top"/>
    </xf>
    <xf numFmtId="0" fontId="25" fillId="2" borderId="27" xfId="0" applyFont="1" applyFill="1" applyBorder="1"/>
    <xf numFmtId="0" fontId="25" fillId="2" borderId="19" xfId="0" applyFont="1" applyFill="1" applyBorder="1"/>
    <xf numFmtId="0" fontId="25" fillId="2" borderId="75" xfId="0" applyFont="1" applyFill="1" applyBorder="1"/>
    <xf numFmtId="165" fontId="25" fillId="2" borderId="75" xfId="0" applyNumberFormat="1" applyFont="1" applyFill="1" applyBorder="1"/>
    <xf numFmtId="165" fontId="25" fillId="2" borderId="0" xfId="0" applyNumberFormat="1" applyFont="1" applyFill="1"/>
    <xf numFmtId="0" fontId="25" fillId="2" borderId="0" xfId="0" applyFont="1" applyFill="1"/>
    <xf numFmtId="0" fontId="1" fillId="2" borderId="37" xfId="0" applyFont="1" applyFill="1" applyBorder="1"/>
    <xf numFmtId="0" fontId="1" fillId="2" borderId="38" xfId="0" applyFont="1" applyFill="1" applyBorder="1"/>
    <xf numFmtId="0" fontId="0" fillId="2" borderId="71" xfId="0" applyFont="1" applyFill="1" applyBorder="1"/>
    <xf numFmtId="0" fontId="0" fillId="2" borderId="39" xfId="0" applyFont="1" applyFill="1" applyBorder="1"/>
    <xf numFmtId="0" fontId="0" fillId="2" borderId="76" xfId="0" applyFill="1" applyBorder="1" applyAlignment="1">
      <alignment horizontal="center"/>
    </xf>
    <xf numFmtId="165" fontId="0" fillId="2" borderId="76" xfId="1" applyFont="1" applyFill="1" applyBorder="1"/>
    <xf numFmtId="165" fontId="0" fillId="2" borderId="76" xfId="0" applyNumberFormat="1" applyFont="1" applyFill="1" applyBorder="1"/>
    <xf numFmtId="0" fontId="1" fillId="2" borderId="40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0" fillId="2" borderId="75" xfId="0" applyFont="1" applyFill="1" applyBorder="1"/>
    <xf numFmtId="165" fontId="1" fillId="2" borderId="75" xfId="1" applyFont="1" applyFill="1" applyBorder="1"/>
    <xf numFmtId="0" fontId="1" fillId="2" borderId="41" xfId="0" applyFont="1" applyFill="1" applyBorder="1"/>
    <xf numFmtId="0" fontId="1" fillId="2" borderId="69" xfId="0" applyFont="1" applyFill="1" applyBorder="1"/>
    <xf numFmtId="0" fontId="0" fillId="2" borderId="77" xfId="0" applyFont="1" applyFill="1" applyBorder="1"/>
    <xf numFmtId="165" fontId="1" fillId="2" borderId="77" xfId="0" applyNumberFormat="1" applyFont="1" applyFill="1" applyBorder="1"/>
    <xf numFmtId="0" fontId="14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quotePrefix="1" applyFill="1" applyBorder="1"/>
    <xf numFmtId="0" fontId="0" fillId="2" borderId="149" xfId="0" applyFill="1" applyBorder="1" applyAlignment="1">
      <alignment horizontal="center"/>
    </xf>
    <xf numFmtId="0" fontId="13" fillId="2" borderId="0" xfId="0" applyFont="1" applyFill="1" applyBorder="1"/>
    <xf numFmtId="165" fontId="0" fillId="2" borderId="0" xfId="0" applyNumberFormat="1" applyFont="1" applyFill="1" applyBorder="1"/>
    <xf numFmtId="0" fontId="1" fillId="2" borderId="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0" fillId="2" borderId="24" xfId="0" applyFont="1" applyFill="1" applyBorder="1"/>
    <xf numFmtId="165" fontId="0" fillId="2" borderId="22" xfId="1" applyFont="1" applyFill="1" applyBorder="1" applyAlignment="1">
      <alignment horizontal="center" vertical="center"/>
    </xf>
    <xf numFmtId="165" fontId="0" fillId="2" borderId="22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0" fontId="4" fillId="2" borderId="24" xfId="8" applyFont="1" applyFill="1" applyBorder="1"/>
    <xf numFmtId="1" fontId="4" fillId="2" borderId="22" xfId="8" applyNumberFormat="1" applyFont="1" applyFill="1" applyBorder="1" applyAlignment="1">
      <alignment horizontal="center"/>
    </xf>
    <xf numFmtId="165" fontId="4" fillId="2" borderId="23" xfId="0" applyNumberFormat="1" applyFont="1" applyFill="1" applyBorder="1"/>
    <xf numFmtId="0" fontId="23" fillId="2" borderId="24" xfId="8" applyFont="1" applyFill="1" applyBorder="1"/>
    <xf numFmtId="0" fontId="4" fillId="2" borderId="43" xfId="8" applyFont="1" applyFill="1" applyBorder="1"/>
    <xf numFmtId="1" fontId="4" fillId="2" borderId="29" xfId="8" applyNumberFormat="1" applyFont="1" applyFill="1" applyBorder="1" applyAlignment="1">
      <alignment horizontal="center"/>
    </xf>
    <xf numFmtId="165" fontId="0" fillId="2" borderId="29" xfId="1" applyFont="1" applyFill="1" applyBorder="1" applyAlignment="1">
      <alignment horizontal="center" vertical="center"/>
    </xf>
    <xf numFmtId="165" fontId="0" fillId="2" borderId="29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0" fontId="15" fillId="2" borderId="7" xfId="0" applyFont="1" applyFill="1" applyBorder="1"/>
    <xf numFmtId="165" fontId="24" fillId="2" borderId="7" xfId="1" applyFont="1" applyFill="1" applyBorder="1"/>
    <xf numFmtId="165" fontId="25" fillId="2" borderId="7" xfId="1" applyFont="1" applyFill="1" applyBorder="1"/>
    <xf numFmtId="165" fontId="15" fillId="2" borderId="0" xfId="0" applyNumberFormat="1" applyFont="1" applyFill="1"/>
    <xf numFmtId="0" fontId="15" fillId="2" borderId="0" xfId="0" applyFont="1" applyFill="1"/>
    <xf numFmtId="0" fontId="19" fillId="2" borderId="1" xfId="0" applyFont="1" applyFill="1" applyBorder="1"/>
    <xf numFmtId="4" fontId="4" fillId="2" borderId="36" xfId="2" applyNumberFormat="1" applyFont="1" applyFill="1" applyBorder="1"/>
    <xf numFmtId="4" fontId="4" fillId="2" borderId="36" xfId="5" applyNumberFormat="1" applyFont="1" applyFill="1" applyBorder="1"/>
    <xf numFmtId="165" fontId="19" fillId="2" borderId="36" xfId="1" applyFont="1" applyFill="1" applyBorder="1"/>
    <xf numFmtId="165" fontId="0" fillId="2" borderId="44" xfId="2" applyFont="1" applyFill="1" applyBorder="1"/>
    <xf numFmtId="0" fontId="0" fillId="2" borderId="46" xfId="0" applyFont="1" applyFill="1" applyBorder="1"/>
    <xf numFmtId="0" fontId="4" fillId="2" borderId="35" xfId="0" applyFont="1" applyFill="1" applyBorder="1" applyAlignment="1">
      <alignment horizontal="center"/>
    </xf>
    <xf numFmtId="4" fontId="4" fillId="2" borderId="35" xfId="2" applyNumberFormat="1" applyFont="1" applyFill="1" applyBorder="1"/>
    <xf numFmtId="165" fontId="0" fillId="2" borderId="35" xfId="2" applyFont="1" applyFill="1" applyBorder="1"/>
    <xf numFmtId="0" fontId="25" fillId="2" borderId="8" xfId="0" applyFont="1" applyFill="1" applyBorder="1" applyAlignment="1"/>
    <xf numFmtId="0" fontId="25" fillId="2" borderId="14" xfId="0" applyFont="1" applyFill="1" applyBorder="1" applyAlignment="1"/>
    <xf numFmtId="0" fontId="25" fillId="2" borderId="7" xfId="0" applyFont="1" applyFill="1" applyBorder="1"/>
    <xf numFmtId="165" fontId="25" fillId="2" borderId="8" xfId="1" applyFont="1" applyFill="1" applyBorder="1"/>
    <xf numFmtId="0" fontId="15" fillId="2" borderId="0" xfId="0" applyFont="1" applyFill="1" applyBorder="1"/>
    <xf numFmtId="0" fontId="1" fillId="2" borderId="4" xfId="0" applyFont="1" applyFill="1" applyBorder="1"/>
    <xf numFmtId="0" fontId="0" fillId="2" borderId="43" xfId="0" applyFont="1" applyFill="1" applyBorder="1"/>
    <xf numFmtId="0" fontId="4" fillId="2" borderId="29" xfId="0" applyFont="1" applyFill="1" applyBorder="1" applyAlignment="1">
      <alignment horizontal="center"/>
    </xf>
    <xf numFmtId="165" fontId="5" fillId="2" borderId="29" xfId="1" applyFont="1" applyFill="1" applyBorder="1"/>
    <xf numFmtId="165" fontId="1" fillId="2" borderId="29" xfId="1" applyFont="1" applyFill="1" applyBorder="1"/>
    <xf numFmtId="165" fontId="4" fillId="2" borderId="30" xfId="1" applyFont="1" applyFill="1" applyBorder="1"/>
    <xf numFmtId="0" fontId="0" fillId="2" borderId="10" xfId="0" applyFont="1" applyFill="1" applyBorder="1"/>
    <xf numFmtId="0" fontId="0" fillId="2" borderId="47" xfId="0" applyFont="1" applyFill="1" applyBorder="1"/>
    <xf numFmtId="17" fontId="0" fillId="2" borderId="31" xfId="0" applyNumberFormat="1" applyFont="1" applyFill="1" applyBorder="1" applyAlignment="1">
      <alignment horizontal="center"/>
    </xf>
    <xf numFmtId="165" fontId="5" fillId="2" borderId="31" xfId="1" applyFont="1" applyFill="1" applyBorder="1"/>
    <xf numFmtId="165" fontId="1" fillId="2" borderId="31" xfId="1" applyFont="1" applyFill="1" applyBorder="1"/>
    <xf numFmtId="165" fontId="5" fillId="2" borderId="32" xfId="1" applyFont="1" applyFill="1" applyBorder="1"/>
    <xf numFmtId="0" fontId="0" fillId="2" borderId="31" xfId="0" applyFont="1" applyFill="1" applyBorder="1" applyAlignment="1">
      <alignment horizontal="center"/>
    </xf>
    <xf numFmtId="165" fontId="4" fillId="2" borderId="31" xfId="1" applyFont="1" applyFill="1" applyBorder="1"/>
    <xf numFmtId="165" fontId="0" fillId="2" borderId="31" xfId="1" applyFont="1" applyFill="1" applyBorder="1"/>
    <xf numFmtId="165" fontId="4" fillId="2" borderId="32" xfId="1" applyFont="1" applyFill="1" applyBorder="1"/>
    <xf numFmtId="0" fontId="1" fillId="2" borderId="9" xfId="0" applyFont="1" applyFill="1" applyBorder="1" applyAlignment="1"/>
    <xf numFmtId="0" fontId="1" fillId="2" borderId="16" xfId="0" applyFont="1" applyFill="1" applyBorder="1" applyAlignment="1"/>
    <xf numFmtId="165" fontId="24" fillId="2" borderId="7" xfId="0" applyNumberFormat="1" applyFont="1" applyFill="1" applyBorder="1"/>
    <xf numFmtId="0" fontId="28" fillId="2" borderId="0" xfId="0" applyFont="1" applyFill="1" applyAlignment="1"/>
    <xf numFmtId="0" fontId="10" fillId="2" borderId="0" xfId="0" applyFont="1" applyFill="1"/>
    <xf numFmtId="0" fontId="22" fillId="2" borderId="0" xfId="0" applyFont="1" applyFill="1"/>
    <xf numFmtId="0" fontId="11" fillId="2" borderId="0" xfId="0" applyFont="1" applyFill="1"/>
    <xf numFmtId="165" fontId="0" fillId="2" borderId="0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165" fontId="0" fillId="2" borderId="45" xfId="1" applyFont="1" applyFill="1" applyBorder="1"/>
    <xf numFmtId="165" fontId="2" fillId="2" borderId="44" xfId="1" applyFont="1" applyFill="1" applyBorder="1" applyAlignment="1">
      <alignment horizontal="center" vertical="center"/>
    </xf>
    <xf numFmtId="0" fontId="4" fillId="2" borderId="44" xfId="8" applyFont="1" applyFill="1" applyBorder="1" applyAlignment="1">
      <alignment horizontal="left"/>
    </xf>
    <xf numFmtId="0" fontId="4" fillId="2" borderId="44" xfId="8" applyFont="1" applyFill="1" applyBorder="1"/>
    <xf numFmtId="0" fontId="4" fillId="2" borderId="46" xfId="8" applyFont="1" applyFill="1" applyBorder="1"/>
    <xf numFmtId="165" fontId="0" fillId="2" borderId="52" xfId="1" applyFont="1" applyFill="1" applyBorder="1"/>
    <xf numFmtId="165" fontId="2" fillId="2" borderId="35" xfId="1" applyFont="1" applyFill="1" applyBorder="1" applyAlignment="1">
      <alignment horizontal="center" vertical="center"/>
    </xf>
    <xf numFmtId="165" fontId="1" fillId="2" borderId="7" xfId="1" applyFont="1" applyFill="1" applyBorder="1"/>
    <xf numFmtId="0" fontId="1" fillId="2" borderId="8" xfId="0" applyFont="1" applyFill="1" applyBorder="1"/>
    <xf numFmtId="0" fontId="1" fillId="2" borderId="14" xfId="0" applyFont="1" applyFill="1" applyBorder="1"/>
    <xf numFmtId="0" fontId="0" fillId="2" borderId="46" xfId="0" applyFill="1" applyBorder="1"/>
    <xf numFmtId="17" fontId="0" fillId="2" borderId="35" xfId="0" applyNumberFormat="1" applyFont="1" applyFill="1" applyBorder="1" applyAlignment="1">
      <alignment horizontal="center"/>
    </xf>
    <xf numFmtId="165" fontId="1" fillId="2" borderId="7" xfId="0" applyNumberFormat="1" applyFont="1" applyFill="1" applyBorder="1"/>
    <xf numFmtId="165" fontId="34" fillId="2" borderId="0" xfId="1" applyFont="1" applyFill="1"/>
    <xf numFmtId="165" fontId="34" fillId="2" borderId="0" xfId="0" applyNumberFormat="1" applyFont="1" applyFill="1"/>
    <xf numFmtId="165" fontId="4" fillId="2" borderId="36" xfId="0" applyNumberFormat="1" applyFont="1" applyFill="1" applyBorder="1" applyAlignment="1">
      <alignment horizontal="center" vertical="center"/>
    </xf>
    <xf numFmtId="0" fontId="23" fillId="2" borderId="44" xfId="8" applyFont="1" applyFill="1" applyBorder="1"/>
    <xf numFmtId="165" fontId="0" fillId="2" borderId="35" xfId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center" vertical="center"/>
    </xf>
    <xf numFmtId="165" fontId="5" fillId="2" borderId="10" xfId="1" applyFont="1" applyFill="1" applyBorder="1" applyAlignment="1">
      <alignment horizontal="left"/>
    </xf>
    <xf numFmtId="165" fontId="5" fillId="2" borderId="11" xfId="1" applyFont="1" applyFill="1" applyBorder="1"/>
    <xf numFmtId="165" fontId="1" fillId="2" borderId="7" xfId="1" applyFont="1" applyFill="1" applyBorder="1" applyAlignment="1">
      <alignment horizontal="center" vertical="center"/>
    </xf>
    <xf numFmtId="165" fontId="5" fillId="2" borderId="7" xfId="1" applyFont="1" applyFill="1" applyBorder="1" applyAlignment="1">
      <alignment horizontal="center" vertical="center"/>
    </xf>
    <xf numFmtId="165" fontId="0" fillId="2" borderId="36" xfId="0" applyNumberFormat="1" applyFill="1" applyBorder="1"/>
    <xf numFmtId="165" fontId="19" fillId="2" borderId="36" xfId="1" applyFont="1" applyFill="1" applyBorder="1" applyAlignment="1">
      <alignment horizontal="left" vertical="top"/>
    </xf>
    <xf numFmtId="165" fontId="19" fillId="2" borderId="36" xfId="2" applyFont="1" applyFill="1" applyBorder="1"/>
    <xf numFmtId="0" fontId="0" fillId="2" borderId="52" xfId="0" applyFont="1" applyFill="1" applyBorder="1" applyAlignment="1">
      <alignment horizontal="center" vertical="center"/>
    </xf>
    <xf numFmtId="165" fontId="19" fillId="2" borderId="35" xfId="1" applyFont="1" applyFill="1" applyBorder="1" applyAlignment="1">
      <alignment horizontal="left" vertical="top"/>
    </xf>
    <xf numFmtId="165" fontId="4" fillId="2" borderId="35" xfId="1" applyFont="1" applyFill="1" applyBorder="1" applyAlignment="1">
      <alignment horizontal="left" vertical="top"/>
    </xf>
    <xf numFmtId="0" fontId="1" fillId="2" borderId="10" xfId="0" applyFont="1" applyFill="1" applyBorder="1"/>
    <xf numFmtId="0" fontId="1" fillId="2" borderId="12" xfId="0" applyFont="1" applyFill="1" applyBorder="1"/>
    <xf numFmtId="165" fontId="21" fillId="2" borderId="2" xfId="1" applyFont="1" applyFill="1" applyBorder="1"/>
    <xf numFmtId="0" fontId="0" fillId="2" borderId="51" xfId="0" applyFont="1" applyFill="1" applyBorder="1"/>
    <xf numFmtId="0" fontId="0" fillId="2" borderId="58" xfId="0" applyFont="1" applyFill="1" applyBorder="1"/>
    <xf numFmtId="165" fontId="21" fillId="2" borderId="54" xfId="1" applyFont="1" applyFill="1" applyBorder="1"/>
    <xf numFmtId="165" fontId="1" fillId="2" borderId="54" xfId="1" applyFont="1" applyFill="1" applyBorder="1"/>
    <xf numFmtId="165" fontId="5" fillId="2" borderId="55" xfId="1" applyFont="1" applyFill="1" applyBorder="1"/>
    <xf numFmtId="17" fontId="0" fillId="2" borderId="54" xfId="0" applyNumberFormat="1" applyFont="1" applyFill="1" applyBorder="1" applyAlignment="1">
      <alignment horizontal="center"/>
    </xf>
    <xf numFmtId="0" fontId="0" fillId="2" borderId="53" xfId="0" applyFont="1" applyFill="1" applyBorder="1"/>
    <xf numFmtId="0" fontId="0" fillId="2" borderId="59" xfId="0" applyFill="1" applyBorder="1"/>
    <xf numFmtId="17" fontId="0" fillId="2" borderId="56" xfId="0" applyNumberFormat="1" applyFont="1" applyFill="1" applyBorder="1" applyAlignment="1">
      <alignment horizontal="center"/>
    </xf>
    <xf numFmtId="165" fontId="1" fillId="2" borderId="56" xfId="1" applyFont="1" applyFill="1" applyBorder="1"/>
    <xf numFmtId="165" fontId="2" fillId="2" borderId="56" xfId="1" applyFont="1" applyFill="1" applyBorder="1"/>
    <xf numFmtId="165" fontId="4" fillId="2" borderId="57" xfId="1" applyFont="1" applyFill="1" applyBorder="1"/>
    <xf numFmtId="0" fontId="1" fillId="2" borderId="11" xfId="0" applyFont="1" applyFill="1" applyBorder="1"/>
    <xf numFmtId="165" fontId="5" fillId="2" borderId="7" xfId="0" applyNumberFormat="1" applyFont="1" applyFill="1" applyBorder="1"/>
    <xf numFmtId="165" fontId="1" fillId="0" borderId="8" xfId="0" applyNumberFormat="1" applyFont="1" applyFill="1" applyBorder="1"/>
    <xf numFmtId="165" fontId="0" fillId="0" borderId="0" xfId="1" applyFont="1" applyBorder="1" applyAlignment="1">
      <alignment horizontal="center" vertical="center"/>
    </xf>
    <xf numFmtId="165" fontId="0" fillId="0" borderId="0" xfId="0" applyNumberFormat="1" applyFont="1" applyBorder="1"/>
    <xf numFmtId="165" fontId="4" fillId="0" borderId="0" xfId="0" applyNumberFormat="1" applyFont="1" applyBorder="1"/>
    <xf numFmtId="165" fontId="29" fillId="2" borderId="0" xfId="1" applyFont="1" applyFill="1"/>
    <xf numFmtId="0" fontId="3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5" fillId="2" borderId="14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165" fontId="4" fillId="2" borderId="0" xfId="0" applyNumberFormat="1" applyFont="1" applyFill="1"/>
    <xf numFmtId="165" fontId="4" fillId="2" borderId="36" xfId="0" applyNumberFormat="1" applyFont="1" applyFill="1" applyBorder="1"/>
    <xf numFmtId="165" fontId="4" fillId="2" borderId="1" xfId="1" applyFont="1" applyFill="1" applyBorder="1" applyAlignment="1">
      <alignment horizontal="center" vertical="center"/>
    </xf>
    <xf numFmtId="0" fontId="4" fillId="2" borderId="42" xfId="0" applyFont="1" applyFill="1" applyBorder="1"/>
    <xf numFmtId="0" fontId="5" fillId="2" borderId="14" xfId="0" applyFont="1" applyFill="1" applyBorder="1"/>
    <xf numFmtId="0" fontId="4" fillId="2" borderId="44" xfId="0" applyFont="1" applyFill="1" applyBorder="1"/>
    <xf numFmtId="0" fontId="4" fillId="2" borderId="46" xfId="0" applyFont="1" applyFill="1" applyBorder="1"/>
    <xf numFmtId="165" fontId="4" fillId="2" borderId="35" xfId="2" applyFont="1" applyFill="1" applyBorder="1"/>
    <xf numFmtId="165" fontId="4" fillId="2" borderId="35" xfId="0" applyNumberFormat="1" applyFont="1" applyFill="1" applyBorder="1"/>
    <xf numFmtId="0" fontId="5" fillId="2" borderId="11" xfId="0" applyFont="1" applyFill="1" applyBorder="1"/>
    <xf numFmtId="0" fontId="5" fillId="2" borderId="7" xfId="0" applyFont="1" applyFill="1" applyBorder="1"/>
    <xf numFmtId="165" fontId="5" fillId="2" borderId="36" xfId="1" applyFont="1" applyFill="1" applyBorder="1"/>
    <xf numFmtId="165" fontId="5" fillId="2" borderId="35" xfId="1" applyFont="1" applyFill="1" applyBorder="1"/>
    <xf numFmtId="165" fontId="1" fillId="2" borderId="11" xfId="1" applyFont="1" applyFill="1" applyBorder="1"/>
    <xf numFmtId="165" fontId="4" fillId="2" borderId="0" xfId="1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right" vertical="center"/>
    </xf>
    <xf numFmtId="0" fontId="4" fillId="2" borderId="0" xfId="8" applyFont="1" applyFill="1"/>
    <xf numFmtId="165" fontId="4" fillId="2" borderId="0" xfId="1" applyFont="1" applyFill="1" applyBorder="1" applyAlignment="1">
      <alignment horizontal="center"/>
    </xf>
    <xf numFmtId="165" fontId="5" fillId="2" borderId="10" xfId="1" applyFont="1" applyFill="1" applyBorder="1"/>
    <xf numFmtId="0" fontId="0" fillId="2" borderId="44" xfId="0" applyFont="1" applyFill="1" applyBorder="1" applyAlignment="1">
      <alignment horizontal="left"/>
    </xf>
    <xf numFmtId="165" fontId="4" fillId="2" borderId="36" xfId="2" applyFont="1" applyFill="1" applyBorder="1" applyAlignment="1">
      <alignment horizontal="right"/>
    </xf>
    <xf numFmtId="0" fontId="4" fillId="2" borderId="44" xfId="0" applyFont="1" applyFill="1" applyBorder="1" applyAlignment="1">
      <alignment horizontal="left"/>
    </xf>
    <xf numFmtId="0" fontId="0" fillId="2" borderId="46" xfId="0" applyFont="1" applyFill="1" applyBorder="1" applyAlignment="1">
      <alignment horizontal="left" vertical="center"/>
    </xf>
    <xf numFmtId="165" fontId="4" fillId="2" borderId="35" xfId="2" applyFont="1" applyFill="1" applyBorder="1" applyAlignment="1">
      <alignment horizontal="right"/>
    </xf>
    <xf numFmtId="0" fontId="4" fillId="2" borderId="3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65" fontId="4" fillId="2" borderId="45" xfId="0" applyNumberFormat="1" applyFont="1" applyFill="1" applyBorder="1"/>
    <xf numFmtId="165" fontId="4" fillId="2" borderId="52" xfId="0" applyNumberFormat="1" applyFont="1" applyFill="1" applyBorder="1"/>
    <xf numFmtId="0" fontId="5" fillId="2" borderId="8" xfId="0" applyFont="1" applyFill="1" applyBorder="1"/>
    <xf numFmtId="0" fontId="5" fillId="2" borderId="0" xfId="0" applyFont="1" applyFill="1" applyBorder="1"/>
    <xf numFmtId="165" fontId="4" fillId="2" borderId="54" xfId="0" applyNumberFormat="1" applyFont="1" applyFill="1" applyBorder="1"/>
    <xf numFmtId="4" fontId="4" fillId="2" borderId="54" xfId="0" applyNumberFormat="1" applyFont="1" applyFill="1" applyBorder="1"/>
    <xf numFmtId="165" fontId="4" fillId="2" borderId="54" xfId="2" applyFont="1" applyFill="1" applyBorder="1"/>
    <xf numFmtId="4" fontId="4" fillId="2" borderId="55" xfId="0" applyNumberFormat="1" applyFont="1" applyFill="1" applyBorder="1"/>
    <xf numFmtId="0" fontId="4" fillId="2" borderId="58" xfId="0" applyFont="1" applyFill="1" applyBorder="1"/>
    <xf numFmtId="0" fontId="4" fillId="2" borderId="54" xfId="0" applyFont="1" applyFill="1" applyBorder="1"/>
    <xf numFmtId="0" fontId="0" fillId="2" borderId="58" xfId="0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0" fontId="4" fillId="2" borderId="56" xfId="0" applyFont="1" applyFill="1" applyBorder="1" applyAlignment="1">
      <alignment horizontal="center"/>
    </xf>
    <xf numFmtId="165" fontId="4" fillId="2" borderId="56" xfId="0" applyNumberFormat="1" applyFont="1" applyFill="1" applyBorder="1"/>
    <xf numFmtId="4" fontId="4" fillId="2" borderId="56" xfId="0" applyNumberFormat="1" applyFont="1" applyFill="1" applyBorder="1"/>
    <xf numFmtId="165" fontId="4" fillId="2" borderId="56" xfId="2" applyFont="1" applyFill="1" applyBorder="1"/>
    <xf numFmtId="4" fontId="4" fillId="2" borderId="5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6" fillId="2" borderId="26" xfId="0" applyFont="1" applyFill="1" applyBorder="1"/>
    <xf numFmtId="0" fontId="15" fillId="2" borderId="36" xfId="0" applyFont="1" applyFill="1" applyBorder="1" applyAlignment="1">
      <alignment horizontal="center"/>
    </xf>
    <xf numFmtId="165" fontId="16" fillId="2" borderId="36" xfId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5" fontId="24" fillId="2" borderId="26" xfId="1" applyFont="1" applyFill="1" applyBorder="1"/>
    <xf numFmtId="165" fontId="24" fillId="2" borderId="45" xfId="1" applyFont="1" applyFill="1" applyBorder="1"/>
    <xf numFmtId="0" fontId="24" fillId="2" borderId="36" xfId="0" applyFont="1" applyFill="1" applyBorder="1"/>
    <xf numFmtId="165" fontId="24" fillId="2" borderId="36" xfId="1" applyFont="1" applyFill="1" applyBorder="1"/>
    <xf numFmtId="165" fontId="16" fillId="2" borderId="0" xfId="0" applyNumberFormat="1" applyFont="1" applyFill="1"/>
    <xf numFmtId="0" fontId="5" fillId="2" borderId="26" xfId="0" applyFont="1" applyFill="1" applyBorder="1"/>
    <xf numFmtId="0" fontId="5" fillId="2" borderId="45" xfId="0" applyFont="1" applyFill="1" applyBorder="1"/>
    <xf numFmtId="0" fontId="0" fillId="2" borderId="45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4" fillId="2" borderId="10" xfId="0" applyFont="1" applyFill="1" applyBorder="1"/>
    <xf numFmtId="165" fontId="1" fillId="2" borderId="45" xfId="1" applyFont="1" applyFill="1" applyBorder="1"/>
    <xf numFmtId="0" fontId="16" fillId="2" borderId="10" xfId="0" applyFont="1" applyFill="1" applyBorder="1"/>
    <xf numFmtId="165" fontId="25" fillId="2" borderId="52" xfId="1" applyFont="1" applyFill="1" applyBorder="1"/>
    <xf numFmtId="165" fontId="24" fillId="2" borderId="35" xfId="1" applyFont="1" applyFill="1" applyBorder="1"/>
    <xf numFmtId="165" fontId="4" fillId="2" borderId="36" xfId="1" applyFont="1" applyFill="1" applyBorder="1" applyAlignment="1">
      <alignment vertical="center"/>
    </xf>
    <xf numFmtId="165" fontId="4" fillId="2" borderId="36" xfId="1" applyFont="1" applyFill="1" applyBorder="1" applyAlignment="1">
      <alignment vertical="center" wrapText="1"/>
    </xf>
    <xf numFmtId="4" fontId="4" fillId="2" borderId="0" xfId="0" applyNumberFormat="1" applyFont="1" applyFill="1"/>
    <xf numFmtId="0" fontId="4" fillId="2" borderId="61" xfId="0" applyFont="1" applyFill="1" applyBorder="1"/>
    <xf numFmtId="0" fontId="4" fillId="2" borderId="62" xfId="8" applyFont="1" applyFill="1" applyBorder="1"/>
    <xf numFmtId="1" fontId="4" fillId="2" borderId="63" xfId="8" applyNumberFormat="1" applyFont="1" applyFill="1" applyBorder="1" applyAlignment="1">
      <alignment horizontal="center"/>
    </xf>
    <xf numFmtId="165" fontId="4" fillId="2" borderId="63" xfId="1" applyFont="1" applyFill="1" applyBorder="1"/>
    <xf numFmtId="165" fontId="4" fillId="2" borderId="63" xfId="0" applyNumberFormat="1" applyFont="1" applyFill="1" applyBorder="1"/>
    <xf numFmtId="165" fontId="24" fillId="2" borderId="10" xfId="1" applyFont="1" applyFill="1" applyBorder="1"/>
    <xf numFmtId="165" fontId="24" fillId="2" borderId="11" xfId="1" applyFont="1" applyFill="1" applyBorder="1"/>
    <xf numFmtId="0" fontId="24" fillId="2" borderId="7" xfId="0" applyFont="1" applyFill="1" applyBorder="1"/>
    <xf numFmtId="165" fontId="24" fillId="2" borderId="7" xfId="1" applyFont="1" applyFill="1" applyBorder="1" applyAlignment="1">
      <alignment horizontal="center" vertical="center"/>
    </xf>
    <xf numFmtId="165" fontId="24" fillId="2" borderId="0" xfId="0" applyNumberFormat="1" applyFont="1" applyFill="1"/>
    <xf numFmtId="0" fontId="24" fillId="2" borderId="0" xfId="0" applyFont="1" applyFill="1"/>
    <xf numFmtId="4" fontId="19" fillId="2" borderId="36" xfId="0" applyNumberFormat="1" applyFont="1" applyFill="1" applyBorder="1" applyAlignment="1">
      <alignment horizontal="right" vertical="top"/>
    </xf>
    <xf numFmtId="4" fontId="4" fillId="2" borderId="36" xfId="0" applyNumberFormat="1" applyFont="1" applyFill="1" applyBorder="1" applyAlignment="1">
      <alignment horizontal="right" vertical="top"/>
    </xf>
    <xf numFmtId="4" fontId="4" fillId="2" borderId="35" xfId="0" applyNumberFormat="1" applyFont="1" applyFill="1" applyBorder="1" applyAlignment="1">
      <alignment horizontal="right" vertical="top"/>
    </xf>
    <xf numFmtId="0" fontId="24" fillId="2" borderId="10" xfId="0" applyFont="1" applyFill="1" applyBorder="1"/>
    <xf numFmtId="0" fontId="24" fillId="2" borderId="11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2" xfId="0" applyFont="1" applyFill="1" applyBorder="1"/>
    <xf numFmtId="165" fontId="4" fillId="2" borderId="2" xfId="1" applyFont="1" applyFill="1" applyBorder="1"/>
    <xf numFmtId="0" fontId="4" fillId="2" borderId="64" xfId="0" applyFont="1" applyFill="1" applyBorder="1"/>
    <xf numFmtId="0" fontId="0" fillId="2" borderId="65" xfId="0" applyFont="1" applyFill="1" applyBorder="1"/>
    <xf numFmtId="0" fontId="4" fillId="2" borderId="18" xfId="0" applyFont="1" applyFill="1" applyBorder="1" applyAlignment="1">
      <alignment horizontal="center"/>
    </xf>
    <xf numFmtId="165" fontId="5" fillId="2" borderId="18" xfId="1" applyFont="1" applyFill="1" applyBorder="1"/>
    <xf numFmtId="165" fontId="1" fillId="2" borderId="42" xfId="1" applyFont="1" applyFill="1" applyBorder="1"/>
    <xf numFmtId="165" fontId="1" fillId="2" borderId="46" xfId="1" applyFont="1" applyFill="1" applyBorder="1"/>
    <xf numFmtId="4" fontId="4" fillId="2" borderId="35" xfId="0" applyNumberFormat="1" applyFont="1" applyFill="1" applyBorder="1"/>
    <xf numFmtId="165" fontId="1" fillId="2" borderId="10" xfId="1" applyFont="1" applyFill="1" applyBorder="1"/>
    <xf numFmtId="165" fontId="25" fillId="2" borderId="10" xfId="1" applyFont="1" applyFill="1" applyBorder="1"/>
    <xf numFmtId="165" fontId="25" fillId="2" borderId="11" xfId="1" applyFont="1" applyFill="1" applyBorder="1"/>
    <xf numFmtId="165" fontId="25" fillId="2" borderId="7" xfId="0" applyNumberFormat="1" applyFont="1" applyFill="1" applyBorder="1"/>
    <xf numFmtId="0" fontId="4" fillId="2" borderId="0" xfId="0" applyFont="1" applyFill="1" applyBorder="1"/>
    <xf numFmtId="165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0" fontId="4" fillId="2" borderId="14" xfId="8" applyFont="1" applyFill="1" applyBorder="1"/>
    <xf numFmtId="1" fontId="4" fillId="2" borderId="1" xfId="8" applyNumberFormat="1" applyFont="1" applyFill="1" applyBorder="1" applyAlignment="1">
      <alignment horizontal="center"/>
    </xf>
    <xf numFmtId="1" fontId="4" fillId="2" borderId="0" xfId="8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165" fontId="4" fillId="2" borderId="0" xfId="0" applyNumberFormat="1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top"/>
    </xf>
    <xf numFmtId="165" fontId="4" fillId="2" borderId="1" xfId="1" applyFont="1" applyFill="1" applyBorder="1"/>
    <xf numFmtId="4" fontId="4" fillId="2" borderId="1" xfId="2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2" xfId="0" applyFont="1" applyFill="1" applyBorder="1"/>
    <xf numFmtId="17" fontId="0" fillId="2" borderId="1" xfId="0" applyNumberFormat="1" applyFont="1" applyFill="1" applyBorder="1" applyAlignment="1">
      <alignment horizontal="center"/>
    </xf>
    <xf numFmtId="165" fontId="4" fillId="2" borderId="22" xfId="1" applyFont="1" applyFill="1" applyBorder="1" applyAlignment="1">
      <alignment horizontal="center" vertical="center"/>
    </xf>
    <xf numFmtId="165" fontId="4" fillId="2" borderId="22" xfId="0" applyNumberFormat="1" applyFont="1" applyFill="1" applyBorder="1"/>
    <xf numFmtId="165" fontId="4" fillId="2" borderId="23" xfId="1" applyFont="1" applyFill="1" applyBorder="1" applyAlignment="1">
      <alignment horizontal="center" vertical="center"/>
    </xf>
    <xf numFmtId="165" fontId="4" fillId="2" borderId="29" xfId="1" applyFont="1" applyFill="1" applyBorder="1" applyAlignment="1">
      <alignment horizontal="center" vertical="center"/>
    </xf>
    <xf numFmtId="165" fontId="4" fillId="2" borderId="29" xfId="0" applyNumberFormat="1" applyFont="1" applyFill="1" applyBorder="1"/>
    <xf numFmtId="0" fontId="24" fillId="2" borderId="7" xfId="0" applyFont="1" applyFill="1" applyBorder="1" applyAlignment="1">
      <alignment horizontal="center" vertical="center"/>
    </xf>
    <xf numFmtId="165" fontId="4" fillId="2" borderId="22" xfId="2" applyFont="1" applyFill="1" applyBorder="1"/>
    <xf numFmtId="165" fontId="4" fillId="2" borderId="23" xfId="2" applyFont="1" applyFill="1" applyBorder="1"/>
    <xf numFmtId="0" fontId="0" fillId="2" borderId="29" xfId="0" applyFont="1" applyFill="1" applyBorder="1" applyAlignment="1">
      <alignment horizontal="center"/>
    </xf>
    <xf numFmtId="165" fontId="4" fillId="2" borderId="29" xfId="2" applyFont="1" applyFill="1" applyBorder="1"/>
    <xf numFmtId="165" fontId="4" fillId="2" borderId="29" xfId="1" applyFont="1" applyFill="1" applyBorder="1"/>
    <xf numFmtId="165" fontId="4" fillId="2" borderId="30" xfId="2" applyFont="1" applyFill="1" applyBorder="1"/>
    <xf numFmtId="0" fontId="1" fillId="2" borderId="47" xfId="0" applyFont="1" applyFill="1" applyBorder="1"/>
    <xf numFmtId="0" fontId="5" fillId="2" borderId="31" xfId="0" applyFont="1" applyFill="1" applyBorder="1"/>
    <xf numFmtId="0" fontId="4" fillId="2" borderId="1" xfId="7" applyFont="1" applyFill="1" applyBorder="1" applyAlignment="1">
      <alignment horizontal="center"/>
    </xf>
    <xf numFmtId="165" fontId="4" fillId="2" borderId="1" xfId="2" applyFont="1" applyFill="1" applyBorder="1" applyAlignment="1">
      <alignment horizontal="center"/>
    </xf>
    <xf numFmtId="0" fontId="4" fillId="2" borderId="22" xfId="7" applyFont="1" applyFill="1" applyBorder="1" applyAlignment="1">
      <alignment horizontal="center"/>
    </xf>
    <xf numFmtId="165" fontId="4" fillId="2" borderId="22" xfId="2" applyFont="1" applyFill="1" applyBorder="1" applyAlignment="1">
      <alignment horizontal="center"/>
    </xf>
    <xf numFmtId="0" fontId="4" fillId="2" borderId="22" xfId="0" applyFont="1" applyFill="1" applyBorder="1"/>
    <xf numFmtId="165" fontId="4" fillId="2" borderId="23" xfId="2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vertical="center"/>
    </xf>
    <xf numFmtId="0" fontId="0" fillId="2" borderId="43" xfId="0" applyFill="1" applyBorder="1"/>
    <xf numFmtId="17" fontId="0" fillId="2" borderId="29" xfId="0" applyNumberFormat="1" applyFont="1" applyFill="1" applyBorder="1" applyAlignment="1">
      <alignment horizontal="center"/>
    </xf>
    <xf numFmtId="165" fontId="4" fillId="2" borderId="29" xfId="2" applyFont="1" applyFill="1" applyBorder="1" applyAlignment="1">
      <alignment horizontal="center"/>
    </xf>
    <xf numFmtId="0" fontId="4" fillId="2" borderId="29" xfId="0" applyFont="1" applyFill="1" applyBorder="1"/>
    <xf numFmtId="165" fontId="4" fillId="2" borderId="30" xfId="2" applyFont="1" applyFill="1" applyBorder="1" applyAlignment="1">
      <alignment horizontal="center"/>
    </xf>
    <xf numFmtId="165" fontId="16" fillId="2" borderId="7" xfId="1" applyFont="1" applyFill="1" applyBorder="1"/>
    <xf numFmtId="0" fontId="0" fillId="2" borderId="8" xfId="0" applyFill="1" applyBorder="1" applyAlignment="1">
      <alignment horizontal="right"/>
    </xf>
    <xf numFmtId="0" fontId="5" fillId="2" borderId="0" xfId="0" applyFont="1" applyFill="1"/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2" applyFont="1" applyFill="1" applyBorder="1"/>
    <xf numFmtId="0" fontId="4" fillId="2" borderId="14" xfId="0" applyFont="1" applyFill="1" applyBorder="1"/>
    <xf numFmtId="0" fontId="0" fillId="2" borderId="16" xfId="0" applyFont="1" applyFill="1" applyBorder="1"/>
    <xf numFmtId="165" fontId="4" fillId="2" borderId="7" xfId="1" applyFont="1" applyFill="1" applyBorder="1"/>
    <xf numFmtId="166" fontId="5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35" xfId="0" applyFont="1" applyFill="1" applyBorder="1"/>
    <xf numFmtId="0" fontId="0" fillId="2" borderId="44" xfId="0" applyFill="1" applyBorder="1"/>
    <xf numFmtId="0" fontId="0" fillId="2" borderId="45" xfId="0" applyFont="1" applyFill="1" applyBorder="1" applyAlignment="1">
      <alignment horizontal="center" vertical="center"/>
    </xf>
    <xf numFmtId="0" fontId="4" fillId="2" borderId="52" xfId="0" applyFont="1" applyFill="1" applyBorder="1"/>
    <xf numFmtId="4" fontId="4" fillId="2" borderId="52" xfId="0" applyNumberFormat="1" applyFont="1" applyFill="1" applyBorder="1"/>
    <xf numFmtId="165" fontId="4" fillId="2" borderId="36" xfId="0" applyNumberFormat="1" applyFont="1" applyFill="1" applyBorder="1" applyAlignment="1">
      <alignment vertical="center"/>
    </xf>
    <xf numFmtId="0" fontId="4" fillId="2" borderId="36" xfId="7" applyFont="1" applyFill="1" applyBorder="1" applyAlignment="1">
      <alignment horizontal="center"/>
    </xf>
    <xf numFmtId="0" fontId="6" fillId="2" borderId="0" xfId="0" applyFont="1" applyFill="1" applyAlignment="1">
      <alignment horizontal="justify" vertical="center"/>
    </xf>
    <xf numFmtId="0" fontId="0" fillId="2" borderId="52" xfId="0" applyFill="1" applyBorder="1"/>
    <xf numFmtId="0" fontId="6" fillId="2" borderId="0" xfId="0" applyFont="1" applyFill="1" applyAlignment="1">
      <alignment vertical="center"/>
    </xf>
    <xf numFmtId="0" fontId="1" fillId="2" borderId="79" xfId="0" applyFont="1" applyFill="1" applyBorder="1" applyAlignment="1">
      <alignment horizontal="left" vertical="center" wrapText="1"/>
    </xf>
    <xf numFmtId="165" fontId="1" fillId="2" borderId="79" xfId="1" applyFont="1" applyFill="1" applyBorder="1" applyAlignment="1">
      <alignment horizontal="center" vertical="center"/>
    </xf>
    <xf numFmtId="165" fontId="1" fillId="2" borderId="80" xfId="1" applyFont="1" applyFill="1" applyBorder="1" applyAlignment="1">
      <alignment horizontal="center" vertical="center"/>
    </xf>
    <xf numFmtId="0" fontId="0" fillId="2" borderId="81" xfId="0" applyFill="1" applyBorder="1" applyAlignment="1">
      <alignment horizontal="left" vertical="center" wrapText="1"/>
    </xf>
    <xf numFmtId="0" fontId="0" fillId="2" borderId="81" xfId="0" applyFill="1" applyBorder="1" applyAlignment="1">
      <alignment horizontal="center" vertical="center" wrapText="1"/>
    </xf>
    <xf numFmtId="165" fontId="0" fillId="2" borderId="81" xfId="0" applyNumberFormat="1" applyFill="1" applyBorder="1" applyAlignment="1">
      <alignment horizontal="center" vertical="center"/>
    </xf>
    <xf numFmtId="165" fontId="2" fillId="2" borderId="82" xfId="1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left" vertical="center" wrapText="1"/>
    </xf>
    <xf numFmtId="165" fontId="0" fillId="2" borderId="22" xfId="0" applyNumberFormat="1" applyFill="1" applyBorder="1"/>
    <xf numFmtId="165" fontId="2" fillId="2" borderId="23" xfId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2" borderId="22" xfId="0" applyFill="1" applyBorder="1"/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wrapText="1"/>
    </xf>
    <xf numFmtId="165" fontId="2" fillId="2" borderId="29" xfId="1" applyFon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vertical="center"/>
    </xf>
    <xf numFmtId="165" fontId="2" fillId="2" borderId="30" xfId="1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wrapText="1"/>
    </xf>
    <xf numFmtId="165" fontId="1" fillId="2" borderId="88" xfId="1" applyFont="1" applyFill="1" applyBorder="1" applyAlignment="1">
      <alignment horizontal="center" vertical="center"/>
    </xf>
    <xf numFmtId="165" fontId="1" fillId="2" borderId="89" xfId="1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left" vertical="center" wrapText="1"/>
    </xf>
    <xf numFmtId="165" fontId="1" fillId="2" borderId="91" xfId="1" applyFont="1" applyFill="1" applyBorder="1" applyAlignment="1">
      <alignment horizontal="center" vertical="center"/>
    </xf>
    <xf numFmtId="0" fontId="0" fillId="2" borderId="91" xfId="0" applyFill="1" applyBorder="1"/>
    <xf numFmtId="165" fontId="1" fillId="2" borderId="92" xfId="1" applyFont="1" applyFill="1" applyBorder="1" applyAlignment="1">
      <alignment horizontal="center" vertical="center"/>
    </xf>
    <xf numFmtId="0" fontId="0" fillId="2" borderId="81" xfId="0" applyFill="1" applyBorder="1" applyAlignment="1">
      <alignment wrapText="1"/>
    </xf>
    <xf numFmtId="165" fontId="0" fillId="2" borderId="81" xfId="0" applyNumberFormat="1" applyFill="1" applyBorder="1"/>
    <xf numFmtId="165" fontId="8" fillId="2" borderId="22" xfId="1" applyFont="1" applyFill="1" applyBorder="1" applyAlignment="1">
      <alignment horizontal="center" vertical="center"/>
    </xf>
    <xf numFmtId="165" fontId="8" fillId="2" borderId="23" xfId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wrapText="1"/>
    </xf>
    <xf numFmtId="165" fontId="1" fillId="2" borderId="95" xfId="1" applyFont="1" applyFill="1" applyBorder="1" applyAlignment="1">
      <alignment horizontal="center" vertical="center"/>
    </xf>
    <xf numFmtId="165" fontId="1" fillId="2" borderId="96" xfId="1" applyFont="1" applyFill="1" applyBorder="1" applyAlignment="1">
      <alignment horizontal="center" vertical="center"/>
    </xf>
    <xf numFmtId="0" fontId="1" fillId="2" borderId="97" xfId="0" applyFont="1" applyFill="1" applyBorder="1"/>
    <xf numFmtId="165" fontId="1" fillId="2" borderId="97" xfId="1" applyFont="1" applyFill="1" applyBorder="1"/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165" fontId="2" fillId="2" borderId="2" xfId="1" applyFont="1" applyFill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0" fillId="2" borderId="45" xfId="0" applyFill="1" applyBorder="1" applyAlignment="1">
      <alignment wrapText="1"/>
    </xf>
    <xf numFmtId="0" fontId="1" fillId="2" borderId="116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wrapText="1"/>
    </xf>
    <xf numFmtId="0" fontId="0" fillId="2" borderId="13" xfId="0" applyFill="1" applyBorder="1" applyAlignment="1">
      <alignment horizontal="center" wrapText="1"/>
    </xf>
    <xf numFmtId="165" fontId="2" fillId="2" borderId="13" xfId="1" applyFont="1" applyFill="1" applyBorder="1" applyAlignment="1">
      <alignment horizontal="center" vertical="center"/>
    </xf>
    <xf numFmtId="165" fontId="0" fillId="2" borderId="13" xfId="1" applyFont="1" applyFill="1" applyBorder="1"/>
    <xf numFmtId="0" fontId="1" fillId="2" borderId="45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left" wrapText="1"/>
    </xf>
    <xf numFmtId="0" fontId="1" fillId="2" borderId="116" xfId="0" applyFont="1" applyFill="1" applyBorder="1" applyAlignment="1">
      <alignment horizontal="center" vertical="center" wrapText="1"/>
    </xf>
    <xf numFmtId="0" fontId="1" fillId="2" borderId="119" xfId="0" applyFont="1" applyFill="1" applyBorder="1" applyAlignment="1">
      <alignment horizontal="center" vertical="center"/>
    </xf>
    <xf numFmtId="0" fontId="1" fillId="2" borderId="119" xfId="0" applyFont="1" applyFill="1" applyBorder="1" applyAlignment="1">
      <alignment horizontal="center" vertical="center" wrapText="1"/>
    </xf>
    <xf numFmtId="0" fontId="1" fillId="2" borderId="119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wrapText="1"/>
    </xf>
    <xf numFmtId="165" fontId="2" fillId="2" borderId="18" xfId="1" applyFont="1" applyFill="1" applyBorder="1" applyAlignment="1">
      <alignment horizontal="center" vertical="center"/>
    </xf>
    <xf numFmtId="165" fontId="4" fillId="2" borderId="18" xfId="1" applyFont="1" applyFill="1" applyBorder="1"/>
    <xf numFmtId="0" fontId="1" fillId="2" borderId="116" xfId="0" applyFont="1" applyFill="1" applyBorder="1" applyAlignment="1">
      <alignment horizontal="left" wrapText="1"/>
    </xf>
    <xf numFmtId="0" fontId="1" fillId="2" borderId="100" xfId="0" applyFont="1" applyFill="1" applyBorder="1" applyAlignment="1">
      <alignment horizontal="left" wrapText="1"/>
    </xf>
    <xf numFmtId="165" fontId="5" fillId="2" borderId="100" xfId="1" applyFont="1" applyFill="1" applyBorder="1"/>
    <xf numFmtId="0" fontId="0" fillId="2" borderId="36" xfId="0" applyFill="1" applyBorder="1" applyAlignment="1">
      <alignment wrapText="1"/>
    </xf>
    <xf numFmtId="0" fontId="0" fillId="2" borderId="55" xfId="0" applyFont="1" applyFill="1" applyBorder="1" applyAlignment="1">
      <alignment horizontal="center" vertical="center"/>
    </xf>
    <xf numFmtId="165" fontId="2" fillId="2" borderId="100" xfId="1" applyFont="1" applyFill="1" applyBorder="1" applyAlignment="1">
      <alignment vertical="center"/>
    </xf>
    <xf numFmtId="0" fontId="1" fillId="2" borderId="126" xfId="0" applyFont="1" applyFill="1" applyBorder="1" applyAlignment="1">
      <alignment horizontal="center" vertical="center"/>
    </xf>
    <xf numFmtId="0" fontId="1" fillId="2" borderId="126" xfId="0" applyFont="1" applyFill="1" applyBorder="1" applyAlignment="1">
      <alignment horizontal="left" wrapText="1"/>
    </xf>
    <xf numFmtId="165" fontId="2" fillId="2" borderId="126" xfId="1" applyFont="1" applyFill="1" applyBorder="1" applyAlignment="1">
      <alignment horizontal="center" vertical="center"/>
    </xf>
    <xf numFmtId="165" fontId="4" fillId="2" borderId="126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/>
    </xf>
    <xf numFmtId="0" fontId="1" fillId="2" borderId="120" xfId="0" applyFont="1" applyFill="1" applyBorder="1" applyAlignment="1">
      <alignment horizontal="center" vertical="center"/>
    </xf>
    <xf numFmtId="0" fontId="5" fillId="2" borderId="120" xfId="0" applyFont="1" applyFill="1" applyBorder="1" applyAlignment="1">
      <alignment horizontal="left" vertical="center" wrapText="1"/>
    </xf>
    <xf numFmtId="165" fontId="1" fillId="2" borderId="120" xfId="1" applyFont="1" applyFill="1" applyBorder="1" applyAlignment="1">
      <alignment vertical="center"/>
    </xf>
    <xf numFmtId="165" fontId="1" fillId="2" borderId="120" xfId="1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left" vertical="center" wrapText="1"/>
    </xf>
    <xf numFmtId="165" fontId="1" fillId="2" borderId="100" xfId="1" applyFont="1" applyFill="1" applyBorder="1" applyAlignment="1">
      <alignment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left" wrapText="1"/>
    </xf>
    <xf numFmtId="165" fontId="0" fillId="2" borderId="36" xfId="1" applyFont="1" applyFill="1" applyBorder="1" applyAlignment="1">
      <alignment vertical="center"/>
    </xf>
    <xf numFmtId="165" fontId="1" fillId="2" borderId="63" xfId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vertical="center"/>
    </xf>
    <xf numFmtId="165" fontId="2" fillId="2" borderId="63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127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wrapText="1"/>
    </xf>
    <xf numFmtId="0" fontId="4" fillId="2" borderId="44" xfId="0" applyFont="1" applyFill="1" applyBorder="1" applyAlignment="1">
      <alignment vertical="center"/>
    </xf>
    <xf numFmtId="0" fontId="1" fillId="2" borderId="68" xfId="0" applyFont="1" applyFill="1" applyBorder="1" applyAlignment="1">
      <alignment horizontal="left" wrapText="1"/>
    </xf>
    <xf numFmtId="0" fontId="0" fillId="2" borderId="36" xfId="0" applyFill="1" applyBorder="1" applyAlignment="1">
      <alignment horizontal="center"/>
    </xf>
    <xf numFmtId="0" fontId="0" fillId="2" borderId="36" xfId="0" applyFill="1" applyBorder="1"/>
    <xf numFmtId="0" fontId="5" fillId="2" borderId="126" xfId="0" applyFont="1" applyFill="1" applyBorder="1" applyAlignment="1">
      <alignment horizontal="left" vertical="center" wrapText="1"/>
    </xf>
    <xf numFmtId="165" fontId="1" fillId="2" borderId="126" xfId="1" applyFont="1" applyFill="1" applyBorder="1" applyAlignment="1">
      <alignment horizontal="center" vertical="center"/>
    </xf>
    <xf numFmtId="0" fontId="1" fillId="2" borderId="119" xfId="0" applyFont="1" applyFill="1" applyBorder="1" applyAlignment="1">
      <alignment horizontal="left" wrapText="1"/>
    </xf>
    <xf numFmtId="0" fontId="1" fillId="2" borderId="122" xfId="0" applyFont="1" applyFill="1" applyBorder="1" applyAlignment="1">
      <alignment horizontal="center" vertical="center"/>
    </xf>
    <xf numFmtId="0" fontId="1" fillId="2" borderId="122" xfId="0" applyFont="1" applyFill="1" applyBorder="1" applyAlignment="1">
      <alignment horizontal="center" vertical="center" wrapText="1"/>
    </xf>
    <xf numFmtId="0" fontId="1" fillId="2" borderId="122" xfId="0" applyFont="1" applyFill="1" applyBorder="1" applyAlignment="1">
      <alignment horizontal="left" wrapText="1"/>
    </xf>
    <xf numFmtId="0" fontId="1" fillId="2" borderId="122" xfId="0" applyFont="1" applyFill="1" applyBorder="1"/>
    <xf numFmtId="0" fontId="1" fillId="2" borderId="122" xfId="0" applyFont="1" applyFill="1" applyBorder="1" applyAlignment="1">
      <alignment horizontal="left"/>
    </xf>
    <xf numFmtId="165" fontId="1" fillId="2" borderId="122" xfId="1" applyFont="1" applyFill="1" applyBorder="1"/>
    <xf numFmtId="0" fontId="0" fillId="2" borderId="8" xfId="0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165" fontId="2" fillId="2" borderId="2" xfId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left"/>
    </xf>
    <xf numFmtId="0" fontId="1" fillId="2" borderId="36" xfId="0" applyFont="1" applyFill="1" applyBorder="1" applyAlignment="1">
      <alignment horizontal="center" wrapText="1"/>
    </xf>
    <xf numFmtId="165" fontId="0" fillId="2" borderId="36" xfId="1" applyFont="1" applyFill="1" applyBorder="1" applyAlignment="1">
      <alignment wrapText="1"/>
    </xf>
    <xf numFmtId="165" fontId="35" fillId="2" borderId="1" xfId="2" applyFont="1" applyFill="1" applyBorder="1" applyAlignment="1">
      <alignment vertical="center"/>
    </xf>
    <xf numFmtId="0" fontId="0" fillId="2" borderId="36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wrapText="1"/>
    </xf>
    <xf numFmtId="165" fontId="1" fillId="2" borderId="116" xfId="0" applyNumberFormat="1" applyFont="1" applyFill="1" applyBorder="1" applyAlignment="1">
      <alignment wrapText="1"/>
    </xf>
    <xf numFmtId="165" fontId="1" fillId="2" borderId="0" xfId="1" applyFont="1" applyFill="1" applyBorder="1" applyAlignment="1">
      <alignment horizontal="center" vertical="center"/>
    </xf>
    <xf numFmtId="165" fontId="0" fillId="2" borderId="122" xfId="1" applyFont="1" applyFill="1" applyBorder="1" applyAlignment="1">
      <alignment horizontal="center" vertical="center"/>
    </xf>
    <xf numFmtId="0" fontId="1" fillId="2" borderId="122" xfId="0" applyFont="1" applyFill="1" applyBorder="1" applyAlignment="1">
      <alignment horizontal="center"/>
    </xf>
    <xf numFmtId="165" fontId="0" fillId="2" borderId="20" xfId="1" applyFont="1" applyFill="1" applyBorder="1"/>
    <xf numFmtId="0" fontId="0" fillId="2" borderId="51" xfId="0" applyFill="1" applyBorder="1"/>
    <xf numFmtId="0" fontId="1" fillId="2" borderId="19" xfId="0" applyFont="1" applyFill="1" applyBorder="1"/>
    <xf numFmtId="0" fontId="1" fillId="2" borderId="75" xfId="0" applyFont="1" applyFill="1" applyBorder="1" applyAlignment="1">
      <alignment horizontal="center" vertical="center"/>
    </xf>
    <xf numFmtId="165" fontId="1" fillId="2" borderId="75" xfId="1" applyFont="1" applyFill="1" applyBorder="1" applyAlignment="1">
      <alignment horizontal="center" vertical="center"/>
    </xf>
    <xf numFmtId="165" fontId="1" fillId="2" borderId="0" xfId="0" applyNumberFormat="1" applyFont="1" applyFill="1"/>
    <xf numFmtId="0" fontId="1" fillId="2" borderId="24" xfId="0" applyFont="1" applyFill="1" applyBorder="1"/>
    <xf numFmtId="0" fontId="25" fillId="2" borderId="45" xfId="0" applyFont="1" applyFill="1" applyBorder="1"/>
    <xf numFmtId="0" fontId="4" fillId="2" borderId="102" xfId="8" applyFont="1" applyFill="1" applyBorder="1"/>
    <xf numFmtId="0" fontId="4" fillId="2" borderId="19" xfId="8" applyFont="1" applyFill="1" applyBorder="1"/>
    <xf numFmtId="0" fontId="0" fillId="2" borderId="75" xfId="0" applyFont="1" applyFill="1" applyBorder="1" applyAlignment="1">
      <alignment horizontal="center" vertical="center"/>
    </xf>
    <xf numFmtId="165" fontId="1" fillId="2" borderId="75" xfId="1" applyFont="1" applyFill="1" applyBorder="1" applyAlignment="1">
      <alignment vertical="center"/>
    </xf>
    <xf numFmtId="0" fontId="5" fillId="2" borderId="132" xfId="0" applyFont="1" applyFill="1" applyBorder="1" applyAlignment="1">
      <alignment vertical="center"/>
    </xf>
    <xf numFmtId="0" fontId="0" fillId="2" borderId="133" xfId="0" applyFont="1" applyFill="1" applyBorder="1"/>
    <xf numFmtId="0" fontId="0" fillId="2" borderId="134" xfId="0" applyFont="1" applyFill="1" applyBorder="1"/>
    <xf numFmtId="0" fontId="4" fillId="2" borderId="127" xfId="0" applyFont="1" applyFill="1" applyBorder="1" applyAlignment="1">
      <alignment vertical="center"/>
    </xf>
    <xf numFmtId="165" fontId="0" fillId="2" borderId="74" xfId="1" applyFont="1" applyFill="1" applyBorder="1"/>
    <xf numFmtId="165" fontId="0" fillId="2" borderId="74" xfId="0" applyNumberFormat="1" applyFont="1" applyFill="1" applyBorder="1"/>
    <xf numFmtId="0" fontId="1" fillId="2" borderId="135" xfId="0" applyFont="1" applyFill="1" applyBorder="1"/>
    <xf numFmtId="0" fontId="1" fillId="2" borderId="127" xfId="0" applyFont="1" applyFill="1" applyBorder="1"/>
    <xf numFmtId="0" fontId="1" fillId="2" borderId="74" xfId="0" applyFont="1" applyFill="1" applyBorder="1" applyAlignment="1">
      <alignment horizontal="center" vertical="center"/>
    </xf>
    <xf numFmtId="165" fontId="1" fillId="2" borderId="74" xfId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left" vertical="center"/>
    </xf>
    <xf numFmtId="165" fontId="0" fillId="2" borderId="56" xfId="1" applyFont="1" applyFill="1" applyBorder="1" applyAlignment="1">
      <alignment vertical="center"/>
    </xf>
    <xf numFmtId="165" fontId="4" fillId="2" borderId="56" xfId="2" applyFont="1" applyFill="1" applyBorder="1" applyAlignment="1">
      <alignment vertical="center"/>
    </xf>
    <xf numFmtId="165" fontId="2" fillId="2" borderId="56" xfId="1" applyFont="1" applyFill="1" applyBorder="1" applyAlignment="1">
      <alignment vertical="center"/>
    </xf>
    <xf numFmtId="165" fontId="2" fillId="2" borderId="56" xfId="1" applyFont="1" applyFill="1" applyBorder="1" applyAlignment="1">
      <alignment horizontal="center" vertical="center"/>
    </xf>
    <xf numFmtId="0" fontId="1" fillId="2" borderId="136" xfId="0" applyFont="1" applyFill="1" applyBorder="1"/>
    <xf numFmtId="0" fontId="5" fillId="2" borderId="137" xfId="0" applyFont="1" applyFill="1" applyBorder="1" applyAlignment="1">
      <alignment horizontal="center" vertical="center"/>
    </xf>
    <xf numFmtId="165" fontId="1" fillId="2" borderId="137" xfId="1" applyFont="1" applyFill="1" applyBorder="1" applyAlignment="1">
      <alignment vertical="center"/>
    </xf>
    <xf numFmtId="165" fontId="5" fillId="2" borderId="137" xfId="2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5" fillId="2" borderId="127" xfId="0" applyFont="1" applyFill="1" applyBorder="1"/>
    <xf numFmtId="165" fontId="2" fillId="2" borderId="74" xfId="1" applyFont="1" applyFill="1" applyBorder="1" applyAlignment="1">
      <alignment horizontal="center" vertical="center"/>
    </xf>
    <xf numFmtId="0" fontId="0" fillId="2" borderId="127" xfId="0" applyFont="1" applyFill="1" applyBorder="1"/>
    <xf numFmtId="165" fontId="2" fillId="2" borderId="134" xfId="1" applyFont="1" applyFill="1" applyBorder="1" applyAlignment="1">
      <alignment horizontal="center" vertical="center"/>
    </xf>
    <xf numFmtId="165" fontId="0" fillId="2" borderId="7" xfId="0" applyNumberFormat="1" applyFont="1" applyFill="1" applyBorder="1"/>
    <xf numFmtId="0" fontId="1" fillId="2" borderId="139" xfId="0" applyFont="1" applyFill="1" applyBorder="1" applyAlignment="1">
      <alignment horizontal="center"/>
    </xf>
    <xf numFmtId="165" fontId="1" fillId="2" borderId="139" xfId="1" applyFont="1" applyFill="1" applyBorder="1" applyAlignment="1">
      <alignment horizontal="center" vertical="center"/>
    </xf>
    <xf numFmtId="165" fontId="2" fillId="2" borderId="71" xfId="1" applyFont="1" applyFill="1" applyBorder="1" applyAlignment="1">
      <alignment horizontal="center" vertical="center"/>
    </xf>
    <xf numFmtId="0" fontId="1" fillId="2" borderId="140" xfId="0" applyFont="1" applyFill="1" applyBorder="1"/>
    <xf numFmtId="0" fontId="5" fillId="2" borderId="141" xfId="0" applyFont="1" applyFill="1" applyBorder="1" applyAlignment="1">
      <alignment vertical="center"/>
    </xf>
    <xf numFmtId="0" fontId="5" fillId="2" borderId="142" xfId="0" applyFont="1" applyFill="1" applyBorder="1" applyAlignment="1">
      <alignment horizontal="center" vertical="center"/>
    </xf>
    <xf numFmtId="165" fontId="1" fillId="2" borderId="142" xfId="0" applyNumberFormat="1" applyFont="1" applyFill="1" applyBorder="1" applyAlignment="1"/>
    <xf numFmtId="165" fontId="5" fillId="2" borderId="142" xfId="2" applyFont="1" applyFill="1" applyBorder="1" applyAlignment="1">
      <alignment vertical="center"/>
    </xf>
    <xf numFmtId="165" fontId="1" fillId="2" borderId="0" xfId="1" applyFont="1" applyFill="1"/>
    <xf numFmtId="0" fontId="15" fillId="2" borderId="143" xfId="0" applyFont="1" applyFill="1" applyBorder="1"/>
    <xf numFmtId="0" fontId="24" fillId="2" borderId="124" xfId="0" applyFont="1" applyFill="1" applyBorder="1" applyAlignment="1">
      <alignment vertical="center"/>
    </xf>
    <xf numFmtId="0" fontId="16" fillId="2" borderId="144" xfId="0" applyFont="1" applyFill="1" applyBorder="1" applyAlignment="1">
      <alignment horizontal="center" vertical="center"/>
    </xf>
    <xf numFmtId="165" fontId="25" fillId="2" borderId="144" xfId="0" applyNumberFormat="1" applyFont="1" applyFill="1" applyBorder="1" applyAlignment="1"/>
    <xf numFmtId="0" fontId="0" fillId="2" borderId="145" xfId="0" applyFont="1" applyFill="1" applyBorder="1"/>
    <xf numFmtId="0" fontId="0" fillId="2" borderId="146" xfId="0" applyFont="1" applyFill="1" applyBorder="1"/>
    <xf numFmtId="0" fontId="0" fillId="2" borderId="147" xfId="0" applyFont="1" applyFill="1" applyBorder="1"/>
    <xf numFmtId="165" fontId="0" fillId="2" borderId="147" xfId="0" applyNumberFormat="1" applyFont="1" applyFill="1" applyBorder="1"/>
    <xf numFmtId="165" fontId="2" fillId="2" borderId="0" xfId="0" applyNumberFormat="1" applyFont="1" applyFill="1"/>
    <xf numFmtId="0" fontId="2" fillId="2" borderId="0" xfId="0" applyFont="1" applyFill="1"/>
    <xf numFmtId="0" fontId="0" fillId="2" borderId="28" xfId="0" applyFont="1" applyFill="1" applyBorder="1" applyAlignment="1">
      <alignment horizontal="left" vertical="top" wrapText="1"/>
    </xf>
    <xf numFmtId="0" fontId="0" fillId="2" borderId="64" xfId="0" applyFont="1" applyFill="1" applyBorder="1"/>
    <xf numFmtId="0" fontId="0" fillId="2" borderId="28" xfId="0" applyFont="1" applyFill="1" applyBorder="1" applyAlignment="1">
      <alignment horizontal="left" wrapText="1"/>
    </xf>
    <xf numFmtId="0" fontId="0" fillId="2" borderId="84" xfId="0" applyFont="1" applyFill="1" applyBorder="1" applyAlignment="1">
      <alignment horizontal="center" vertical="center"/>
    </xf>
    <xf numFmtId="165" fontId="0" fillId="2" borderId="84" xfId="1" applyFont="1" applyFill="1" applyBorder="1" applyAlignment="1">
      <alignment horizontal="center" vertical="center"/>
    </xf>
    <xf numFmtId="165" fontId="2" fillId="2" borderId="114" xfId="1" applyFont="1" applyFill="1" applyBorder="1" applyAlignment="1">
      <alignment vertical="center" wrapText="1"/>
    </xf>
    <xf numFmtId="0" fontId="0" fillId="2" borderId="98" xfId="0" applyFill="1" applyBorder="1"/>
    <xf numFmtId="0" fontId="0" fillId="2" borderId="48" xfId="0" applyFill="1" applyBorder="1" applyAlignment="1">
      <alignment horizontal="center"/>
    </xf>
    <xf numFmtId="0" fontId="0" fillId="2" borderId="98" xfId="0" applyFont="1" applyFill="1" applyBorder="1"/>
    <xf numFmtId="0" fontId="0" fillId="2" borderId="48" xfId="0" applyFont="1" applyFill="1" applyBorder="1" applyAlignment="1">
      <alignment horizontal="center" vertical="center"/>
    </xf>
    <xf numFmtId="0" fontId="4" fillId="2" borderId="98" xfId="8" applyFont="1" applyFill="1" applyBorder="1"/>
    <xf numFmtId="0" fontId="4" fillId="2" borderId="28" xfId="8" applyFont="1" applyFill="1" applyBorder="1"/>
    <xf numFmtId="0" fontId="0" fillId="2" borderId="81" xfId="0" applyFont="1" applyFill="1" applyBorder="1" applyAlignment="1">
      <alignment horizontal="center" vertical="center"/>
    </xf>
    <xf numFmtId="165" fontId="0" fillId="2" borderId="86" xfId="1" applyFont="1" applyFill="1" applyBorder="1" applyAlignment="1">
      <alignment horizontal="center" vertical="center"/>
    </xf>
    <xf numFmtId="165" fontId="0" fillId="2" borderId="81" xfId="1" applyFont="1" applyFill="1" applyBorder="1" applyAlignment="1">
      <alignment horizontal="center" vertical="center"/>
    </xf>
    <xf numFmtId="0" fontId="5" fillId="2" borderId="83" xfId="8" applyFont="1" applyFill="1" applyBorder="1" applyAlignment="1">
      <alignment vertical="center"/>
    </xf>
    <xf numFmtId="0" fontId="35" fillId="2" borderId="84" xfId="8" applyFont="1" applyFill="1" applyBorder="1" applyAlignment="1">
      <alignment vertical="center"/>
    </xf>
    <xf numFmtId="165" fontId="2" fillId="2" borderId="114" xfId="1" applyFont="1" applyFill="1" applyBorder="1" applyAlignment="1">
      <alignment vertical="center"/>
    </xf>
    <xf numFmtId="0" fontId="0" fillId="2" borderId="98" xfId="0" applyFont="1" applyFill="1" applyBorder="1" applyAlignment="1">
      <alignment horizontal="left" wrapText="1"/>
    </xf>
    <xf numFmtId="165" fontId="0" fillId="2" borderId="48" xfId="1" applyFont="1" applyFill="1" applyBorder="1" applyAlignment="1">
      <alignment vertical="center"/>
    </xf>
    <xf numFmtId="0" fontId="4" fillId="2" borderId="98" xfId="8" applyFont="1" applyFill="1" applyBorder="1" applyAlignment="1">
      <alignment horizontal="left" wrapText="1"/>
    </xf>
    <xf numFmtId="0" fontId="4" fillId="2" borderId="98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/>
    </xf>
    <xf numFmtId="165" fontId="4" fillId="2" borderId="8" xfId="2" applyFont="1" applyFill="1" applyBorder="1" applyAlignment="1">
      <alignment vertical="center"/>
    </xf>
    <xf numFmtId="0" fontId="4" fillId="2" borderId="98" xfId="0" applyFont="1" applyFill="1" applyBorder="1" applyAlignment="1">
      <alignment vertical="center"/>
    </xf>
    <xf numFmtId="0" fontId="0" fillId="2" borderId="8" xfId="0" applyFont="1" applyFill="1" applyBorder="1" applyAlignment="1"/>
    <xf numFmtId="0" fontId="4" fillId="2" borderId="9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/>
    <xf numFmtId="0" fontId="4" fillId="2" borderId="48" xfId="0" applyFont="1" applyFill="1" applyBorder="1" applyAlignment="1">
      <alignment horizontal="center" vertical="center"/>
    </xf>
    <xf numFmtId="165" fontId="0" fillId="2" borderId="48" xfId="1" applyFont="1" applyFill="1" applyBorder="1"/>
    <xf numFmtId="0" fontId="5" fillId="2" borderId="2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165" fontId="1" fillId="2" borderId="23" xfId="1" applyFont="1" applyFill="1" applyBorder="1" applyAlignment="1">
      <alignment vertical="center"/>
    </xf>
    <xf numFmtId="0" fontId="5" fillId="2" borderId="61" xfId="0" applyFont="1" applyFill="1" applyBorder="1" applyAlignment="1">
      <alignment horizontal="left" vertical="center"/>
    </xf>
    <xf numFmtId="0" fontId="5" fillId="2" borderId="66" xfId="0" applyFont="1" applyFill="1" applyBorder="1" applyAlignment="1">
      <alignment horizontal="left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 wrapText="1"/>
    </xf>
    <xf numFmtId="165" fontId="0" fillId="2" borderId="84" xfId="1" applyFont="1" applyFill="1" applyBorder="1" applyAlignment="1">
      <alignment vertical="center"/>
    </xf>
    <xf numFmtId="0" fontId="4" fillId="2" borderId="98" xfId="0" applyFont="1" applyFill="1" applyBorder="1" applyAlignment="1">
      <alignment horizontal="left" vertical="center"/>
    </xf>
    <xf numFmtId="165" fontId="4" fillId="2" borderId="17" xfId="1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left"/>
    </xf>
    <xf numFmtId="165" fontId="0" fillId="2" borderId="81" xfId="1" applyFont="1" applyFill="1" applyBorder="1" applyAlignment="1">
      <alignment vertical="center"/>
    </xf>
    <xf numFmtId="165" fontId="0" fillId="2" borderId="81" xfId="1" applyFont="1" applyFill="1" applyBorder="1" applyAlignment="1"/>
    <xf numFmtId="0" fontId="24" fillId="2" borderId="28" xfId="0" applyFont="1" applyFill="1" applyBorder="1" applyAlignment="1">
      <alignment horizontal="left"/>
    </xf>
    <xf numFmtId="0" fontId="5" fillId="2" borderId="81" xfId="0" applyFont="1" applyFill="1" applyBorder="1" applyAlignment="1">
      <alignment horizontal="center" vertical="center"/>
    </xf>
    <xf numFmtId="165" fontId="1" fillId="2" borderId="81" xfId="1" applyFont="1" applyFill="1" applyBorder="1" applyAlignment="1"/>
    <xf numFmtId="165" fontId="4" fillId="2" borderId="114" xfId="1" applyFont="1" applyFill="1" applyBorder="1" applyAlignment="1">
      <alignment vertical="center"/>
    </xf>
    <xf numFmtId="165" fontId="4" fillId="2" borderId="0" xfId="1" applyFont="1" applyFill="1" applyBorder="1" applyAlignment="1">
      <alignment vertical="center"/>
    </xf>
    <xf numFmtId="0" fontId="16" fillId="2" borderId="98" xfId="0" applyFont="1" applyFill="1" applyBorder="1" applyAlignment="1">
      <alignment horizontal="left" vertical="center"/>
    </xf>
    <xf numFmtId="165" fontId="0" fillId="2" borderId="17" xfId="1" applyFont="1" applyFill="1" applyBorder="1" applyAlignment="1">
      <alignment vertical="center"/>
    </xf>
    <xf numFmtId="165" fontId="0" fillId="2" borderId="82" xfId="1" applyFont="1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165" fontId="1" fillId="2" borderId="22" xfId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165" fontId="5" fillId="2" borderId="6" xfId="1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5" fontId="4" fillId="0" borderId="0" xfId="1" applyFont="1" applyFill="1"/>
    <xf numFmtId="0" fontId="4" fillId="0" borderId="0" xfId="0" applyFont="1" applyFill="1"/>
    <xf numFmtId="0" fontId="5" fillId="2" borderId="151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0" borderId="54" xfId="0" applyFont="1" applyFill="1" applyBorder="1"/>
    <xf numFmtId="0" fontId="4" fillId="0" borderId="54" xfId="0" applyFont="1" applyFill="1" applyBorder="1" applyAlignment="1">
      <alignment horizontal="center"/>
    </xf>
    <xf numFmtId="165" fontId="4" fillId="2" borderId="54" xfId="1" applyNumberFormat="1" applyFont="1" applyFill="1" applyBorder="1" applyAlignment="1">
      <alignment horizontal="right"/>
    </xf>
    <xf numFmtId="165" fontId="4" fillId="0" borderId="0" xfId="0" applyNumberFormat="1" applyFont="1" applyFill="1"/>
    <xf numFmtId="0" fontId="0" fillId="0" borderId="54" xfId="0" applyBorder="1"/>
    <xf numFmtId="0" fontId="0" fillId="0" borderId="54" xfId="0" applyFont="1" applyBorder="1" applyAlignment="1">
      <alignment horizontal="center"/>
    </xf>
    <xf numFmtId="165" fontId="4" fillId="0" borderId="20" xfId="0" applyNumberFormat="1" applyFont="1" applyFill="1" applyBorder="1"/>
    <xf numFmtId="1" fontId="4" fillId="0" borderId="54" xfId="8" applyNumberFormat="1" applyFont="1" applyBorder="1" applyAlignment="1">
      <alignment horizontal="center"/>
    </xf>
    <xf numFmtId="0" fontId="4" fillId="0" borderId="54" xfId="8" applyFont="1" applyBorder="1"/>
    <xf numFmtId="165" fontId="5" fillId="0" borderId="0" xfId="0" applyNumberFormat="1" applyFont="1" applyFill="1"/>
    <xf numFmtId="0" fontId="4" fillId="0" borderId="54" xfId="0" applyFont="1" applyBorder="1" applyAlignment="1">
      <alignment horizontal="center"/>
    </xf>
    <xf numFmtId="165" fontId="5" fillId="2" borderId="54" xfId="1" applyNumberFormat="1" applyFont="1" applyFill="1" applyBorder="1" applyAlignment="1">
      <alignment horizontal="right"/>
    </xf>
    <xf numFmtId="165" fontId="4" fillId="2" borderId="54" xfId="0" applyNumberFormat="1" applyFont="1" applyFill="1" applyBorder="1" applyAlignment="1">
      <alignment horizontal="right"/>
    </xf>
    <xf numFmtId="0" fontId="0" fillId="0" borderId="54" xfId="0" applyFont="1" applyBorder="1"/>
    <xf numFmtId="0" fontId="0" fillId="2" borderId="54" xfId="0" applyFont="1" applyFill="1" applyBorder="1"/>
    <xf numFmtId="0" fontId="0" fillId="2" borderId="54" xfId="0" applyFill="1" applyBorder="1"/>
    <xf numFmtId="0" fontId="6" fillId="2" borderId="54" xfId="0" applyFont="1" applyFill="1" applyBorder="1" applyAlignment="1">
      <alignment wrapText="1"/>
    </xf>
    <xf numFmtId="0" fontId="4" fillId="2" borderId="54" xfId="0" applyFont="1" applyFill="1" applyBorder="1" applyAlignment="1">
      <alignment wrapText="1"/>
    </xf>
    <xf numFmtId="0" fontId="4" fillId="2" borderId="54" xfId="8" applyFont="1" applyFill="1" applyBorder="1"/>
    <xf numFmtId="0" fontId="16" fillId="2" borderId="54" xfId="0" applyFont="1" applyFill="1" applyBorder="1"/>
    <xf numFmtId="0" fontId="4" fillId="2" borderId="54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4" fillId="2" borderId="54" xfId="0" applyFont="1" applyFill="1" applyBorder="1"/>
    <xf numFmtId="0" fontId="4" fillId="2" borderId="54" xfId="8" applyFont="1" applyFill="1" applyBorder="1" applyAlignment="1">
      <alignment wrapText="1"/>
    </xf>
    <xf numFmtId="0" fontId="1" fillId="0" borderId="54" xfId="0" applyFont="1" applyFill="1" applyBorder="1" applyAlignment="1">
      <alignment wrapText="1"/>
    </xf>
    <xf numFmtId="0" fontId="0" fillId="0" borderId="54" xfId="0" applyFill="1" applyBorder="1" applyAlignment="1">
      <alignment vertical="top"/>
    </xf>
    <xf numFmtId="0" fontId="5" fillId="0" borderId="54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left" wrapText="1"/>
    </xf>
    <xf numFmtId="0" fontId="4" fillId="0" borderId="54" xfId="0" applyFont="1" applyFill="1" applyBorder="1" applyAlignment="1">
      <alignment wrapText="1"/>
    </xf>
    <xf numFmtId="0" fontId="4" fillId="0" borderId="54" xfId="0" applyFont="1" applyFill="1" applyBorder="1" applyAlignment="1">
      <alignment horizontal="left" vertical="center" wrapText="1"/>
    </xf>
    <xf numFmtId="165" fontId="35" fillId="2" borderId="54" xfId="0" applyNumberFormat="1" applyFont="1" applyFill="1" applyBorder="1" applyAlignment="1">
      <alignment horizontal="right"/>
    </xf>
    <xf numFmtId="0" fontId="5" fillId="0" borderId="152" xfId="0" applyFont="1" applyFill="1" applyBorder="1"/>
    <xf numFmtId="0" fontId="4" fillId="0" borderId="152" xfId="0" applyFont="1" applyFill="1" applyBorder="1" applyAlignment="1">
      <alignment horizontal="center"/>
    </xf>
    <xf numFmtId="165" fontId="5" fillId="2" borderId="152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165" fontId="4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165" fontId="4" fillId="0" borderId="0" xfId="1" applyFont="1" applyFill="1" applyAlignment="1">
      <alignment horizontal="center"/>
    </xf>
    <xf numFmtId="165" fontId="32" fillId="0" borderId="0" xfId="1" applyFont="1" applyFill="1"/>
    <xf numFmtId="0" fontId="32" fillId="0" borderId="0" xfId="0" applyFont="1" applyFill="1" applyAlignment="1">
      <alignment horizontal="center"/>
    </xf>
    <xf numFmtId="165" fontId="32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2" borderId="149" xfId="0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5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2" borderId="15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32" fillId="0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0" xfId="8" applyFont="1" applyFill="1" applyBorder="1" applyAlignment="1">
      <alignment horizontal="left"/>
    </xf>
    <xf numFmtId="0" fontId="5" fillId="2" borderId="12" xfId="8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24" fillId="2" borderId="10" xfId="8" applyFont="1" applyFill="1" applyBorder="1" applyAlignment="1">
      <alignment horizontal="left"/>
    </xf>
    <xf numFmtId="0" fontId="24" fillId="2" borderId="11" xfId="8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165" fontId="5" fillId="2" borderId="10" xfId="1" applyFont="1" applyFill="1" applyBorder="1" applyAlignment="1">
      <alignment horizontal="left"/>
    </xf>
    <xf numFmtId="165" fontId="5" fillId="2" borderId="11" xfId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1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5" fillId="2" borderId="100" xfId="0" applyFont="1" applyFill="1" applyBorder="1" applyAlignment="1">
      <alignment horizontal="left" wrapText="1"/>
    </xf>
    <xf numFmtId="0" fontId="1" fillId="2" borderId="117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1" fillId="2" borderId="122" xfId="0" applyFont="1" applyFill="1" applyBorder="1" applyAlignment="1">
      <alignment horizontal="left" wrapText="1"/>
    </xf>
    <xf numFmtId="0" fontId="1" fillId="2" borderId="119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vertical="center"/>
    </xf>
    <xf numFmtId="0" fontId="1" fillId="2" borderId="123" xfId="0" applyFont="1" applyFill="1" applyBorder="1" applyAlignment="1">
      <alignment horizontal="left" wrapText="1"/>
    </xf>
    <xf numFmtId="0" fontId="1" fillId="2" borderId="124" xfId="0" applyFont="1" applyFill="1" applyBorder="1" applyAlignment="1">
      <alignment horizontal="left" wrapText="1"/>
    </xf>
    <xf numFmtId="0" fontId="1" fillId="2" borderId="124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 vertical="center" wrapText="1"/>
    </xf>
    <xf numFmtId="0" fontId="1" fillId="2" borderId="120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128" xfId="0" applyFont="1" applyFill="1" applyBorder="1" applyAlignment="1">
      <alignment horizontal="left" vertical="center" wrapText="1"/>
    </xf>
    <xf numFmtId="0" fontId="5" fillId="2" borderId="129" xfId="0" applyFont="1" applyFill="1" applyBorder="1" applyAlignment="1">
      <alignment horizontal="left" vertical="center" wrapText="1"/>
    </xf>
    <xf numFmtId="0" fontId="1" fillId="2" borderId="69" xfId="0" applyFont="1" applyFill="1" applyBorder="1" applyAlignment="1">
      <alignment horizontal="left" wrapText="1"/>
    </xf>
    <xf numFmtId="0" fontId="1" fillId="2" borderId="69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 wrapText="1"/>
    </xf>
    <xf numFmtId="0" fontId="1" fillId="2" borderId="99" xfId="0" applyFont="1" applyFill="1" applyBorder="1" applyAlignment="1">
      <alignment horizontal="left" wrapText="1"/>
    </xf>
    <xf numFmtId="0" fontId="1" fillId="2" borderId="24" xfId="0" applyFont="1" applyFill="1" applyBorder="1" applyAlignment="1">
      <alignment horizontal="left" wrapText="1"/>
    </xf>
    <xf numFmtId="0" fontId="1" fillId="2" borderId="51" xfId="0" applyFont="1" applyFill="1" applyBorder="1" applyAlignment="1">
      <alignment horizontal="left" wrapText="1"/>
    </xf>
    <xf numFmtId="0" fontId="0" fillId="2" borderId="69" xfId="0" applyFill="1" applyBorder="1" applyAlignment="1">
      <alignment horizontal="left" wrapText="1"/>
    </xf>
    <xf numFmtId="0" fontId="0" fillId="2" borderId="69" xfId="0" applyFont="1" applyFill="1" applyBorder="1" applyAlignment="1">
      <alignment horizontal="left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top"/>
    </xf>
    <xf numFmtId="165" fontId="1" fillId="2" borderId="80" xfId="1" applyFont="1" applyFill="1" applyBorder="1" applyAlignment="1">
      <alignment horizontal="center" vertical="center" wrapText="1"/>
    </xf>
    <xf numFmtId="165" fontId="1" fillId="2" borderId="82" xfId="1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left" wrapText="1"/>
    </xf>
    <xf numFmtId="0" fontId="1" fillId="2" borderId="66" xfId="0" applyFont="1" applyFill="1" applyBorder="1" applyAlignment="1">
      <alignment horizontal="left" wrapText="1"/>
    </xf>
    <xf numFmtId="165" fontId="1" fillId="2" borderId="22" xfId="1" applyFont="1" applyFill="1" applyBorder="1" applyAlignment="1">
      <alignment horizontal="center" vertical="center" wrapText="1"/>
    </xf>
    <xf numFmtId="165" fontId="1" fillId="2" borderId="79" xfId="1" applyFont="1" applyFill="1" applyBorder="1" applyAlignment="1">
      <alignment horizontal="right" vertical="center"/>
    </xf>
    <xf numFmtId="165" fontId="1" fillId="2" borderId="81" xfId="1" applyFont="1" applyFill="1" applyBorder="1" applyAlignment="1">
      <alignment horizontal="right" vertical="center"/>
    </xf>
    <xf numFmtId="165" fontId="1" fillId="2" borderId="23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48" xfId="0" applyFont="1" applyFill="1" applyBorder="1" applyAlignment="1">
      <alignment horizontal="left" vertical="center" wrapText="1"/>
    </xf>
    <xf numFmtId="0" fontId="1" fillId="2" borderId="79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165" fontId="1" fillId="2" borderId="79" xfId="1" applyFont="1" applyFill="1" applyBorder="1" applyAlignment="1">
      <alignment horizontal="center" vertical="center"/>
    </xf>
    <xf numFmtId="165" fontId="1" fillId="2" borderId="81" xfId="1" applyFont="1" applyFill="1" applyBorder="1" applyAlignment="1">
      <alignment horizontal="center" vertical="center"/>
    </xf>
    <xf numFmtId="165" fontId="5" fillId="2" borderId="114" xfId="1" applyFont="1" applyFill="1" applyBorder="1" applyAlignment="1">
      <alignment horizontal="center" vertical="center" wrapText="1"/>
    </xf>
    <xf numFmtId="165" fontId="5" fillId="2" borderId="17" xfId="1" applyFont="1" applyFill="1" applyBorder="1" applyAlignment="1">
      <alignment horizontal="center" vertical="center" wrapText="1"/>
    </xf>
    <xf numFmtId="165" fontId="5" fillId="2" borderId="82" xfId="1" applyFont="1" applyFill="1" applyBorder="1" applyAlignment="1">
      <alignment horizontal="center" vertical="center" wrapText="1"/>
    </xf>
    <xf numFmtId="165" fontId="1" fillId="2" borderId="114" xfId="1" applyFont="1" applyFill="1" applyBorder="1" applyAlignment="1">
      <alignment horizontal="center" vertical="center" wrapText="1"/>
    </xf>
    <xf numFmtId="165" fontId="1" fillId="2" borderId="17" xfId="1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left" wrapText="1"/>
    </xf>
    <xf numFmtId="0" fontId="5" fillId="2" borderId="84" xfId="0" applyFont="1" applyFill="1" applyBorder="1" applyAlignment="1">
      <alignment horizontal="left" wrapText="1"/>
    </xf>
    <xf numFmtId="0" fontId="5" fillId="2" borderId="83" xfId="0" applyFont="1" applyFill="1" applyBorder="1" applyAlignment="1">
      <alignment horizontal="left" vertical="center" wrapText="1"/>
    </xf>
    <xf numFmtId="0" fontId="5" fillId="2" borderId="84" xfId="0" applyFont="1" applyFill="1" applyBorder="1" applyAlignment="1">
      <alignment horizontal="left" vertical="center" wrapText="1"/>
    </xf>
    <xf numFmtId="165" fontId="0" fillId="2" borderId="48" xfId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37">
    <cellStyle name="Comma" xfId="1" builtinId="3"/>
    <cellStyle name="Comma [0] 2" xfId="11"/>
    <cellStyle name="Comma 10" xfId="5"/>
    <cellStyle name="Comma 11" xfId="12"/>
    <cellStyle name="Comma 12" xfId="13"/>
    <cellStyle name="Comma 13" xfId="14"/>
    <cellStyle name="Comma 14" xfId="15"/>
    <cellStyle name="Comma 15" xfId="2"/>
    <cellStyle name="Comma 15 2" xfId="6"/>
    <cellStyle name="Comma 16" xfId="16"/>
    <cellStyle name="Comma 17" xfId="17"/>
    <cellStyle name="Comma 2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"/>
    <cellStyle name="Normal 15 2" xfId="4"/>
    <cellStyle name="Normal 16" xfId="31"/>
    <cellStyle name="Normal 2" xfId="8"/>
    <cellStyle name="Normal 3" xfId="9"/>
    <cellStyle name="Normal 4" xfId="10"/>
    <cellStyle name="Normal 5" xfId="32"/>
    <cellStyle name="Normal 6" xfId="33"/>
    <cellStyle name="Normal 7" xfId="7"/>
    <cellStyle name="Normal 8" xfId="34"/>
    <cellStyle name="Normal 9" xfId="35"/>
    <cellStyle name="Percent" xfId="36" builtinId="5"/>
  </cellStyles>
  <dxfs count="279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173</xdr:row>
      <xdr:rowOff>133350</xdr:rowOff>
    </xdr:from>
    <xdr:to>
      <xdr:col>6</xdr:col>
      <xdr:colOff>286976</xdr:colOff>
      <xdr:row>176</xdr:row>
      <xdr:rowOff>181801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325" y="311753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2000250</xdr:colOff>
      <xdr:row>173</xdr:row>
      <xdr:rowOff>133350</xdr:rowOff>
    </xdr:from>
    <xdr:to>
      <xdr:col>0</xdr:col>
      <xdr:colOff>3227774</xdr:colOff>
      <xdr:row>176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0" y="31175325"/>
          <a:ext cx="1227524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53</xdr:row>
      <xdr:rowOff>28575</xdr:rowOff>
    </xdr:from>
    <xdr:to>
      <xdr:col>3</xdr:col>
      <xdr:colOff>875099</xdr:colOff>
      <xdr:row>56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10810875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809625</xdr:colOff>
      <xdr:row>53</xdr:row>
      <xdr:rowOff>9525</xdr:rowOff>
    </xdr:from>
    <xdr:to>
      <xdr:col>7</xdr:col>
      <xdr:colOff>877526</xdr:colOff>
      <xdr:row>56</xdr:row>
      <xdr:rowOff>181801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8925" y="107918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53</xdr:row>
      <xdr:rowOff>133350</xdr:rowOff>
    </xdr:from>
    <xdr:to>
      <xdr:col>1</xdr:col>
      <xdr:colOff>1949302</xdr:colOff>
      <xdr:row>57</xdr:row>
      <xdr:rowOff>145609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0" y="10915650"/>
          <a:ext cx="1225402" cy="7742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48</xdr:row>
      <xdr:rowOff>19050</xdr:rowOff>
    </xdr:from>
    <xdr:to>
      <xdr:col>3</xdr:col>
      <xdr:colOff>760799</xdr:colOff>
      <xdr:row>51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93916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76200</xdr:rowOff>
    </xdr:from>
    <xdr:to>
      <xdr:col>8</xdr:col>
      <xdr:colOff>86951</xdr:colOff>
      <xdr:row>52</xdr:row>
      <xdr:rowOff>57976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700" y="94488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48</xdr:row>
      <xdr:rowOff>104775</xdr:rowOff>
    </xdr:from>
    <xdr:to>
      <xdr:col>1</xdr:col>
      <xdr:colOff>2297486</xdr:colOff>
      <xdr:row>52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225" y="9477375"/>
          <a:ext cx="1449761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59</xdr:row>
      <xdr:rowOff>161925</xdr:rowOff>
    </xdr:from>
    <xdr:to>
      <xdr:col>3</xdr:col>
      <xdr:colOff>751274</xdr:colOff>
      <xdr:row>63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118300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8</xdr:col>
      <xdr:colOff>67901</xdr:colOff>
      <xdr:row>64</xdr:row>
      <xdr:rowOff>172276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5150" y="120491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60</xdr:row>
      <xdr:rowOff>76200</xdr:rowOff>
    </xdr:from>
    <xdr:to>
      <xdr:col>1</xdr:col>
      <xdr:colOff>2723174</xdr:colOff>
      <xdr:row>64</xdr:row>
      <xdr:rowOff>39687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1075" y="11934825"/>
          <a:ext cx="1932599" cy="72548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51</xdr:row>
      <xdr:rowOff>71437</xdr:rowOff>
    </xdr:from>
    <xdr:to>
      <xdr:col>4</xdr:col>
      <xdr:colOff>5150</xdr:colOff>
      <xdr:row>54</xdr:row>
      <xdr:rowOff>176212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1" y="1041400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8</xdr:col>
      <xdr:colOff>66313</xdr:colOff>
      <xdr:row>55</xdr:row>
      <xdr:rowOff>172276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1000" y="10533063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944565</xdr:colOff>
      <xdr:row>51</xdr:row>
      <xdr:rowOff>174624</xdr:rowOff>
    </xdr:from>
    <xdr:to>
      <xdr:col>1</xdr:col>
      <xdr:colOff>1671481</xdr:colOff>
      <xdr:row>56</xdr:row>
      <xdr:rowOff>161923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065" y="10517187"/>
          <a:ext cx="726916" cy="9397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52</xdr:row>
      <xdr:rowOff>76200</xdr:rowOff>
    </xdr:from>
    <xdr:to>
      <xdr:col>3</xdr:col>
      <xdr:colOff>646499</xdr:colOff>
      <xdr:row>55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5" y="960120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67901</xdr:colOff>
      <xdr:row>56</xdr:row>
      <xdr:rowOff>172276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97155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52</xdr:row>
      <xdr:rowOff>66675</xdr:rowOff>
    </xdr:from>
    <xdr:to>
      <xdr:col>1</xdr:col>
      <xdr:colOff>2384063</xdr:colOff>
      <xdr:row>54</xdr:row>
      <xdr:rowOff>142915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9591675"/>
          <a:ext cx="1688738" cy="4572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404813</xdr:colOff>
      <xdr:row>49</xdr:row>
      <xdr:rowOff>47625</xdr:rowOff>
    </xdr:from>
    <xdr:to>
      <xdr:col>3</xdr:col>
      <xdr:colOff>735399</xdr:colOff>
      <xdr:row>52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8063" y="958850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79375</xdr:rowOff>
    </xdr:from>
    <xdr:to>
      <xdr:col>8</xdr:col>
      <xdr:colOff>66313</xdr:colOff>
      <xdr:row>53</xdr:row>
      <xdr:rowOff>61151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1000" y="96202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904875</xdr:colOff>
      <xdr:row>48</xdr:row>
      <xdr:rowOff>142875</xdr:rowOff>
    </xdr:from>
    <xdr:to>
      <xdr:col>1</xdr:col>
      <xdr:colOff>2254704</xdr:colOff>
      <xdr:row>52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5375" y="9493250"/>
          <a:ext cx="1349829" cy="723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441613</xdr:colOff>
      <xdr:row>47</xdr:row>
      <xdr:rowOff>112568</xdr:rowOff>
    </xdr:from>
    <xdr:to>
      <xdr:col>3</xdr:col>
      <xdr:colOff>777251</xdr:colOff>
      <xdr:row>51</xdr:row>
      <xdr:rowOff>26843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4863" y="9169977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857250</xdr:colOff>
      <xdr:row>47</xdr:row>
      <xdr:rowOff>112568</xdr:rowOff>
    </xdr:from>
    <xdr:to>
      <xdr:col>8</xdr:col>
      <xdr:colOff>2092</xdr:colOff>
      <xdr:row>51</xdr:row>
      <xdr:rowOff>94344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6159" y="9169977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47</xdr:row>
      <xdr:rowOff>43296</xdr:rowOff>
    </xdr:from>
    <xdr:to>
      <xdr:col>1</xdr:col>
      <xdr:colOff>2114550</xdr:colOff>
      <xdr:row>52</xdr:row>
      <xdr:rowOff>24487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0" y="9100705"/>
          <a:ext cx="1257300" cy="93369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341313</xdr:colOff>
      <xdr:row>50</xdr:row>
      <xdr:rowOff>79375</xdr:rowOff>
    </xdr:from>
    <xdr:to>
      <xdr:col>3</xdr:col>
      <xdr:colOff>679837</xdr:colOff>
      <xdr:row>53</xdr:row>
      <xdr:rowOff>184150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4563" y="9659938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841375</xdr:colOff>
      <xdr:row>50</xdr:row>
      <xdr:rowOff>111125</xdr:rowOff>
    </xdr:from>
    <xdr:to>
      <xdr:col>8</xdr:col>
      <xdr:colOff>10751</xdr:colOff>
      <xdr:row>54</xdr:row>
      <xdr:rowOff>92901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9691688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1055687</xdr:colOff>
      <xdr:row>50</xdr:row>
      <xdr:rowOff>142875</xdr:rowOff>
    </xdr:from>
    <xdr:to>
      <xdr:col>1</xdr:col>
      <xdr:colOff>2019618</xdr:colOff>
      <xdr:row>54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187" y="9723438"/>
          <a:ext cx="963931" cy="6572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460375</xdr:colOff>
      <xdr:row>50</xdr:row>
      <xdr:rowOff>142875</xdr:rowOff>
    </xdr:from>
    <xdr:to>
      <xdr:col>3</xdr:col>
      <xdr:colOff>790961</xdr:colOff>
      <xdr:row>54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3625" y="9739313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849312</xdr:colOff>
      <xdr:row>50</xdr:row>
      <xdr:rowOff>134938</xdr:rowOff>
    </xdr:from>
    <xdr:to>
      <xdr:col>8</xdr:col>
      <xdr:colOff>18688</xdr:colOff>
      <xdr:row>54</xdr:row>
      <xdr:rowOff>116714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3375" y="9731376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738187</xdr:colOff>
      <xdr:row>50</xdr:row>
      <xdr:rowOff>87312</xdr:rowOff>
    </xdr:from>
    <xdr:to>
      <xdr:col>1</xdr:col>
      <xdr:colOff>1963589</xdr:colOff>
      <xdr:row>54</xdr:row>
      <xdr:rowOff>99571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687" y="9683750"/>
          <a:ext cx="1225402" cy="77425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588817</xdr:colOff>
      <xdr:row>50</xdr:row>
      <xdr:rowOff>69273</xdr:rowOff>
    </xdr:from>
    <xdr:to>
      <xdr:col>5</xdr:col>
      <xdr:colOff>32568</xdr:colOff>
      <xdr:row>53</xdr:row>
      <xdr:rowOff>174048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2067" y="9680864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796636</xdr:colOff>
      <xdr:row>50</xdr:row>
      <xdr:rowOff>129886</xdr:rowOff>
    </xdr:from>
    <xdr:to>
      <xdr:col>7</xdr:col>
      <xdr:colOff>868001</xdr:colOff>
      <xdr:row>54</xdr:row>
      <xdr:rowOff>111662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5545" y="9741477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909205</xdr:colOff>
      <xdr:row>50</xdr:row>
      <xdr:rowOff>95250</xdr:rowOff>
    </xdr:from>
    <xdr:to>
      <xdr:col>1</xdr:col>
      <xdr:colOff>1872456</xdr:colOff>
      <xdr:row>54</xdr:row>
      <xdr:rowOff>77026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705" y="9706841"/>
          <a:ext cx="963251" cy="7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62</xdr:row>
      <xdr:rowOff>9525</xdr:rowOff>
    </xdr:from>
    <xdr:to>
      <xdr:col>5</xdr:col>
      <xdr:colOff>27374</xdr:colOff>
      <xdr:row>65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123253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8</xdr:col>
      <xdr:colOff>67901</xdr:colOff>
      <xdr:row>65</xdr:row>
      <xdr:rowOff>77026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23158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61</xdr:row>
      <xdr:rowOff>161925</xdr:rowOff>
    </xdr:from>
    <xdr:to>
      <xdr:col>1</xdr:col>
      <xdr:colOff>1877651</xdr:colOff>
      <xdr:row>65</xdr:row>
      <xdr:rowOff>29401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0" y="12268200"/>
          <a:ext cx="963251" cy="74377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63</xdr:row>
      <xdr:rowOff>152400</xdr:rowOff>
    </xdr:from>
    <xdr:to>
      <xdr:col>6</xdr:col>
      <xdr:colOff>389324</xdr:colOff>
      <xdr:row>66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113347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9</xdr:col>
      <xdr:colOff>20276</xdr:colOff>
      <xdr:row>67</xdr:row>
      <xdr:rowOff>96076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5" y="113728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63</xdr:row>
      <xdr:rowOff>133350</xdr:rowOff>
    </xdr:from>
    <xdr:to>
      <xdr:col>2</xdr:col>
      <xdr:colOff>1010876</xdr:colOff>
      <xdr:row>67</xdr:row>
      <xdr:rowOff>38926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775" y="11315700"/>
          <a:ext cx="963251" cy="74377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73</xdr:row>
      <xdr:rowOff>219075</xdr:rowOff>
    </xdr:from>
    <xdr:to>
      <xdr:col>4</xdr:col>
      <xdr:colOff>332174</xdr:colOff>
      <xdr:row>76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5" y="136969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73</xdr:row>
      <xdr:rowOff>238125</xdr:rowOff>
    </xdr:from>
    <xdr:to>
      <xdr:col>6</xdr:col>
      <xdr:colOff>829901</xdr:colOff>
      <xdr:row>77</xdr:row>
      <xdr:rowOff>67501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5" y="137160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73</xdr:row>
      <xdr:rowOff>228600</xdr:rowOff>
    </xdr:from>
    <xdr:to>
      <xdr:col>2</xdr:col>
      <xdr:colOff>1247775</xdr:colOff>
      <xdr:row>77</xdr:row>
      <xdr:rowOff>48057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2075" y="13706475"/>
          <a:ext cx="1076325" cy="7338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58</xdr:row>
      <xdr:rowOff>19050</xdr:rowOff>
    </xdr:from>
    <xdr:to>
      <xdr:col>5</xdr:col>
      <xdr:colOff>436949</xdr:colOff>
      <xdr:row>60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122491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963251</xdr:colOff>
      <xdr:row>60</xdr:row>
      <xdr:rowOff>134176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22301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58</xdr:row>
      <xdr:rowOff>142875</xdr:rowOff>
    </xdr:from>
    <xdr:to>
      <xdr:col>3</xdr:col>
      <xdr:colOff>1990724</xdr:colOff>
      <xdr:row>60</xdr:row>
      <xdr:rowOff>27969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8350" y="12372975"/>
          <a:ext cx="1133474" cy="49469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1389063</xdr:colOff>
      <xdr:row>33</xdr:row>
      <xdr:rowOff>15875</xdr:rowOff>
    </xdr:from>
    <xdr:to>
      <xdr:col>4</xdr:col>
      <xdr:colOff>568712</xdr:colOff>
      <xdr:row>35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6" y="7405688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396874</xdr:colOff>
      <xdr:row>33</xdr:row>
      <xdr:rowOff>0</xdr:rowOff>
    </xdr:from>
    <xdr:to>
      <xdr:col>8</xdr:col>
      <xdr:colOff>463188</xdr:colOff>
      <xdr:row>36</xdr:row>
      <xdr:rowOff>5589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9937" y="7389813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357188</xdr:colOff>
      <xdr:row>33</xdr:row>
      <xdr:rowOff>119063</xdr:rowOff>
    </xdr:from>
    <xdr:to>
      <xdr:col>3</xdr:col>
      <xdr:colOff>896207</xdr:colOff>
      <xdr:row>36</xdr:row>
      <xdr:rowOff>41514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6813" y="7508876"/>
          <a:ext cx="1340707" cy="66063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1841500</xdr:colOff>
      <xdr:row>66</xdr:row>
      <xdr:rowOff>0</xdr:rowOff>
    </xdr:from>
    <xdr:to>
      <xdr:col>4</xdr:col>
      <xdr:colOff>899441</xdr:colOff>
      <xdr:row>68</xdr:row>
      <xdr:rowOff>41275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167" y="14022917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846667</xdr:colOff>
      <xdr:row>66</xdr:row>
      <xdr:rowOff>63500</xdr:rowOff>
    </xdr:from>
    <xdr:to>
      <xdr:col>7</xdr:col>
      <xdr:colOff>804501</xdr:colOff>
      <xdr:row>68</xdr:row>
      <xdr:rowOff>172276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14086417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2</xdr:col>
      <xdr:colOff>84667</xdr:colOff>
      <xdr:row>66</xdr:row>
      <xdr:rowOff>148167</xdr:rowOff>
    </xdr:from>
    <xdr:to>
      <xdr:col>3</xdr:col>
      <xdr:colOff>1625238</xdr:colOff>
      <xdr:row>67</xdr:row>
      <xdr:rowOff>171491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5167" y="14171084"/>
          <a:ext cx="1688738" cy="4572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2390775</xdr:colOff>
      <xdr:row>47</xdr:row>
      <xdr:rowOff>123825</xdr:rowOff>
    </xdr:from>
    <xdr:to>
      <xdr:col>4</xdr:col>
      <xdr:colOff>770324</xdr:colOff>
      <xdr:row>49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0" y="1047750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47</xdr:row>
      <xdr:rowOff>123825</xdr:rowOff>
    </xdr:from>
    <xdr:to>
      <xdr:col>8</xdr:col>
      <xdr:colOff>96476</xdr:colOff>
      <xdr:row>49</xdr:row>
      <xdr:rowOff>143701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104775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781050</xdr:colOff>
      <xdr:row>47</xdr:row>
      <xdr:rowOff>257175</xdr:rowOff>
    </xdr:from>
    <xdr:to>
      <xdr:col>3</xdr:col>
      <xdr:colOff>1828800</xdr:colOff>
      <xdr:row>50</xdr:row>
      <xdr:rowOff>111326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57425" y="10610850"/>
          <a:ext cx="1047750" cy="77807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66</xdr:row>
      <xdr:rowOff>123825</xdr:rowOff>
    </xdr:from>
    <xdr:to>
      <xdr:col>3</xdr:col>
      <xdr:colOff>827474</xdr:colOff>
      <xdr:row>70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173926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66</xdr:row>
      <xdr:rowOff>85725</xdr:rowOff>
    </xdr:from>
    <xdr:to>
      <xdr:col>7</xdr:col>
      <xdr:colOff>172676</xdr:colOff>
      <xdr:row>70</xdr:row>
      <xdr:rowOff>67501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173545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66</xdr:row>
      <xdr:rowOff>74977</xdr:rowOff>
    </xdr:from>
    <xdr:to>
      <xdr:col>1</xdr:col>
      <xdr:colOff>1990724</xdr:colOff>
      <xdr:row>70</xdr:row>
      <xdr:rowOff>48451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7343802"/>
          <a:ext cx="952499" cy="73547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37</xdr:row>
      <xdr:rowOff>38100</xdr:rowOff>
    </xdr:from>
    <xdr:to>
      <xdr:col>5</xdr:col>
      <xdr:colOff>65474</xdr:colOff>
      <xdr:row>39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8162925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866775</xdr:colOff>
      <xdr:row>37</xdr:row>
      <xdr:rowOff>114300</xdr:rowOff>
    </xdr:from>
    <xdr:to>
      <xdr:col>8</xdr:col>
      <xdr:colOff>39326</xdr:colOff>
      <xdr:row>39</xdr:row>
      <xdr:rowOff>181801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5125" y="82391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1085850</xdr:colOff>
      <xdr:row>37</xdr:row>
      <xdr:rowOff>171450</xdr:rowOff>
    </xdr:from>
    <xdr:to>
      <xdr:col>1</xdr:col>
      <xdr:colOff>1812766</xdr:colOff>
      <xdr:row>41</xdr:row>
      <xdr:rowOff>34924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8296275"/>
          <a:ext cx="726916" cy="93979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29766</xdr:colOff>
      <xdr:row>61</xdr:row>
      <xdr:rowOff>138906</xdr:rowOff>
    </xdr:from>
    <xdr:to>
      <xdr:col>2</xdr:col>
      <xdr:colOff>364321</xdr:colOff>
      <xdr:row>63</xdr:row>
      <xdr:rowOff>31353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7813" y="96837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19843</xdr:colOff>
      <xdr:row>61</xdr:row>
      <xdr:rowOff>317500</xdr:rowOff>
    </xdr:from>
    <xdr:to>
      <xdr:col>7</xdr:col>
      <xdr:colOff>90125</xdr:colOff>
      <xdr:row>64</xdr:row>
      <xdr:rowOff>79011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9765" y="9862344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932656</xdr:colOff>
      <xdr:row>61</xdr:row>
      <xdr:rowOff>198437</xdr:rowOff>
    </xdr:from>
    <xdr:to>
      <xdr:col>0</xdr:col>
      <xdr:colOff>1659572</xdr:colOff>
      <xdr:row>64</xdr:row>
      <xdr:rowOff>155971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656" y="9743281"/>
          <a:ext cx="726916" cy="93979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404813</xdr:colOff>
      <xdr:row>52</xdr:row>
      <xdr:rowOff>0</xdr:rowOff>
    </xdr:from>
    <xdr:to>
      <xdr:col>3</xdr:col>
      <xdr:colOff>735399</xdr:colOff>
      <xdr:row>54</xdr:row>
      <xdr:rowOff>49213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0188" y="10485438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881062</xdr:colOff>
      <xdr:row>52</xdr:row>
      <xdr:rowOff>63500</xdr:rowOff>
    </xdr:from>
    <xdr:to>
      <xdr:col>8</xdr:col>
      <xdr:colOff>50438</xdr:colOff>
      <xdr:row>54</xdr:row>
      <xdr:rowOff>180214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7250" y="10548938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1317625</xdr:colOff>
      <xdr:row>52</xdr:row>
      <xdr:rowOff>55562</xdr:rowOff>
    </xdr:from>
    <xdr:to>
      <xdr:col>1</xdr:col>
      <xdr:colOff>2280876</xdr:colOff>
      <xdr:row>54</xdr:row>
      <xdr:rowOff>172276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8438" y="10541000"/>
          <a:ext cx="963251" cy="7437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519545</xdr:colOff>
      <xdr:row>78</xdr:row>
      <xdr:rowOff>34636</xdr:rowOff>
    </xdr:from>
    <xdr:to>
      <xdr:col>3</xdr:col>
      <xdr:colOff>855183</xdr:colOff>
      <xdr:row>81</xdr:row>
      <xdr:rowOff>139411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8545" y="15231341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839932</xdr:colOff>
      <xdr:row>78</xdr:row>
      <xdr:rowOff>0</xdr:rowOff>
    </xdr:from>
    <xdr:to>
      <xdr:col>8</xdr:col>
      <xdr:colOff>19410</xdr:colOff>
      <xdr:row>81</xdr:row>
      <xdr:rowOff>172276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5932" y="1519670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78</xdr:row>
      <xdr:rowOff>77932</xdr:rowOff>
    </xdr:from>
    <xdr:to>
      <xdr:col>1</xdr:col>
      <xdr:colOff>2011001</xdr:colOff>
      <xdr:row>82</xdr:row>
      <xdr:rowOff>59708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6909" y="15274637"/>
          <a:ext cx="963251" cy="743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55</xdr:row>
      <xdr:rowOff>180975</xdr:rowOff>
    </xdr:from>
    <xdr:to>
      <xdr:col>3</xdr:col>
      <xdr:colOff>789374</xdr:colOff>
      <xdr:row>58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1116330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180975</xdr:rowOff>
    </xdr:from>
    <xdr:to>
      <xdr:col>8</xdr:col>
      <xdr:colOff>67901</xdr:colOff>
      <xdr:row>59</xdr:row>
      <xdr:rowOff>38926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5125" y="1116330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8</xdr:col>
      <xdr:colOff>404929</xdr:colOff>
      <xdr:row>57</xdr:row>
      <xdr:rowOff>177700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982325"/>
          <a:ext cx="1300279" cy="67300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55</xdr:row>
      <xdr:rowOff>171450</xdr:rowOff>
    </xdr:from>
    <xdr:to>
      <xdr:col>1</xdr:col>
      <xdr:colOff>2176579</xdr:colOff>
      <xdr:row>58</xdr:row>
      <xdr:rowOff>149125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1153775"/>
          <a:ext cx="1300279" cy="673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45</xdr:row>
      <xdr:rowOff>152400</xdr:rowOff>
    </xdr:from>
    <xdr:to>
      <xdr:col>3</xdr:col>
      <xdr:colOff>884624</xdr:colOff>
      <xdr:row>48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9467850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809625</xdr:colOff>
      <xdr:row>45</xdr:row>
      <xdr:rowOff>161925</xdr:rowOff>
    </xdr:from>
    <xdr:to>
      <xdr:col>7</xdr:col>
      <xdr:colOff>877526</xdr:colOff>
      <xdr:row>49</xdr:row>
      <xdr:rowOff>29401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8925" y="947737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1104900</xdr:colOff>
      <xdr:row>45</xdr:row>
      <xdr:rowOff>144647</xdr:rowOff>
    </xdr:from>
    <xdr:to>
      <xdr:col>1</xdr:col>
      <xdr:colOff>2047875</xdr:colOff>
      <xdr:row>49</xdr:row>
      <xdr:rowOff>238125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7487" l="0" r="9845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460097"/>
          <a:ext cx="942975" cy="969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398319</xdr:colOff>
      <xdr:row>48</xdr:row>
      <xdr:rowOff>34636</xdr:rowOff>
    </xdr:from>
    <xdr:to>
      <xdr:col>3</xdr:col>
      <xdr:colOff>716638</xdr:colOff>
      <xdr:row>51</xdr:row>
      <xdr:rowOff>26843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1569" y="9854045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805296</xdr:colOff>
      <xdr:row>48</xdr:row>
      <xdr:rowOff>95250</xdr:rowOff>
    </xdr:from>
    <xdr:to>
      <xdr:col>7</xdr:col>
      <xdr:colOff>876660</xdr:colOff>
      <xdr:row>51</xdr:row>
      <xdr:rowOff>154958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2864" y="9914659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935183</xdr:colOff>
      <xdr:row>49</xdr:row>
      <xdr:rowOff>60613</xdr:rowOff>
    </xdr:from>
    <xdr:to>
      <xdr:col>1</xdr:col>
      <xdr:colOff>2182477</xdr:colOff>
      <xdr:row>51</xdr:row>
      <xdr:rowOff>129886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83" y="10087840"/>
          <a:ext cx="1247294" cy="5455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47</xdr:row>
      <xdr:rowOff>57150</xdr:rowOff>
    </xdr:from>
    <xdr:to>
      <xdr:col>3</xdr:col>
      <xdr:colOff>684599</xdr:colOff>
      <xdr:row>50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9572625"/>
          <a:ext cx="1227524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8</xdr:col>
      <xdr:colOff>67901</xdr:colOff>
      <xdr:row>51</xdr:row>
      <xdr:rowOff>172276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970597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47</xdr:row>
      <xdr:rowOff>133350</xdr:rowOff>
    </xdr:from>
    <xdr:to>
      <xdr:col>1</xdr:col>
      <xdr:colOff>2609248</xdr:colOff>
      <xdr:row>51</xdr:row>
      <xdr:rowOff>41968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9648825"/>
          <a:ext cx="1847248" cy="6706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606136</xdr:colOff>
      <xdr:row>49</xdr:row>
      <xdr:rowOff>65648</xdr:rowOff>
    </xdr:from>
    <xdr:to>
      <xdr:col>3</xdr:col>
      <xdr:colOff>822614</xdr:colOff>
      <xdr:row>52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9386" y="10014943"/>
          <a:ext cx="1108364" cy="610627"/>
        </a:xfrm>
        <a:prstGeom prst="rect">
          <a:avLst/>
        </a:prstGeom>
      </xdr:spPr>
    </xdr:pic>
    <xdr:clientData/>
  </xdr:twoCellAnchor>
  <xdr:twoCellAnchor editAs="oneCell">
    <xdr:from>
      <xdr:col>6</xdr:col>
      <xdr:colOff>848590</xdr:colOff>
      <xdr:row>48</xdr:row>
      <xdr:rowOff>181841</xdr:rowOff>
    </xdr:from>
    <xdr:to>
      <xdr:col>8</xdr:col>
      <xdr:colOff>28068</xdr:colOff>
      <xdr:row>52</xdr:row>
      <xdr:rowOff>163617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499" y="9940636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744682</xdr:colOff>
      <xdr:row>49</xdr:row>
      <xdr:rowOff>59996</xdr:rowOff>
    </xdr:from>
    <xdr:to>
      <xdr:col>1</xdr:col>
      <xdr:colOff>1879023</xdr:colOff>
      <xdr:row>52</xdr:row>
      <xdr:rowOff>113434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182" y="10009291"/>
          <a:ext cx="1134341" cy="6249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519545</xdr:colOff>
      <xdr:row>53</xdr:row>
      <xdr:rowOff>86591</xdr:rowOff>
    </xdr:from>
    <xdr:to>
      <xdr:col>3</xdr:col>
      <xdr:colOff>745161</xdr:colOff>
      <xdr:row>55</xdr:row>
      <xdr:rowOff>122093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795" y="10997046"/>
          <a:ext cx="1117502" cy="615661"/>
        </a:xfrm>
        <a:prstGeom prst="rect">
          <a:avLst/>
        </a:prstGeom>
      </xdr:spPr>
    </xdr:pic>
    <xdr:clientData/>
  </xdr:twoCellAnchor>
  <xdr:twoCellAnchor editAs="oneCell">
    <xdr:from>
      <xdr:col>6</xdr:col>
      <xdr:colOff>744681</xdr:colOff>
      <xdr:row>52</xdr:row>
      <xdr:rowOff>337705</xdr:rowOff>
    </xdr:from>
    <xdr:to>
      <xdr:col>7</xdr:col>
      <xdr:colOff>816046</xdr:colOff>
      <xdr:row>55</xdr:row>
      <xdr:rowOff>120322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3590" y="1086716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1186296</xdr:colOff>
      <xdr:row>53</xdr:row>
      <xdr:rowOff>121227</xdr:rowOff>
    </xdr:from>
    <xdr:to>
      <xdr:col>1</xdr:col>
      <xdr:colOff>1515341</xdr:colOff>
      <xdr:row>56</xdr:row>
      <xdr:rowOff>144147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6796" y="11031682"/>
          <a:ext cx="329045" cy="7935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LAINE'S%20FILE-BUDGET/Annual%20Budget%202019/LBP_Form_No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LBP_Form%20No.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LAINE'S%20FILE-BUDGET/Annual%20Budget%202019/LBP_Form_No.2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laine's-File/@YEAR-END%20REPORTS/YEAREND_2017/@SCHED_NOTES%20TO%20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SB(L)"/>
      <sheetName val="SB(S)"/>
      <sheetName val="MPDC"/>
      <sheetName val="LCR"/>
      <sheetName val="MBO"/>
      <sheetName val="Accounting"/>
      <sheetName val="MTO"/>
      <sheetName val="Assessor"/>
      <sheetName val="MHO"/>
      <sheetName val="MSWD"/>
      <sheetName val="Agric"/>
      <sheetName val="MEO"/>
      <sheetName val="LDRRMO"/>
      <sheetName val="Market"/>
      <sheetName val="piwas"/>
      <sheetName val="ITEM#"/>
      <sheetName val="MENRO"/>
    </sheetNames>
    <sheetDataSet>
      <sheetData sheetId="0">
        <row r="33">
          <cell r="L33">
            <v>1881048</v>
          </cell>
          <cell r="M33">
            <v>606478</v>
          </cell>
          <cell r="N33">
            <v>144000</v>
          </cell>
          <cell r="O33">
            <v>81000</v>
          </cell>
          <cell r="P33">
            <v>81000</v>
          </cell>
          <cell r="Q33">
            <v>36000</v>
          </cell>
          <cell r="R33">
            <v>30000</v>
          </cell>
          <cell r="S33">
            <v>313508</v>
          </cell>
          <cell r="U33">
            <v>225725.75999999998</v>
          </cell>
          <cell r="V33">
            <v>7200</v>
          </cell>
          <cell r="W33">
            <v>17439.839999999997</v>
          </cell>
          <cell r="X33">
            <v>18810.48</v>
          </cell>
          <cell r="Y33">
            <v>1000000</v>
          </cell>
          <cell r="Z33">
            <v>151087.969916</v>
          </cell>
          <cell r="AA33">
            <v>100000</v>
          </cell>
        </row>
      </sheetData>
      <sheetData sheetId="1">
        <row r="52">
          <cell r="L52">
            <v>8938188</v>
          </cell>
          <cell r="M52">
            <v>150000</v>
          </cell>
          <cell r="N52">
            <v>360000</v>
          </cell>
          <cell r="O52">
            <v>751500</v>
          </cell>
          <cell r="P52">
            <v>751500</v>
          </cell>
          <cell r="Q52">
            <v>90000</v>
          </cell>
          <cell r="R52">
            <v>75000</v>
          </cell>
          <cell r="S52">
            <v>1489698</v>
          </cell>
          <cell r="T52">
            <v>75000</v>
          </cell>
          <cell r="U52">
            <v>1072582.5599999998</v>
          </cell>
          <cell r="V52">
            <v>18000</v>
          </cell>
          <cell r="W52">
            <v>79502.114999999976</v>
          </cell>
          <cell r="X52">
            <v>89381.87999999999</v>
          </cell>
          <cell r="Y52">
            <v>300000</v>
          </cell>
          <cell r="Z52">
            <v>717925.68804599997</v>
          </cell>
        </row>
      </sheetData>
      <sheetData sheetId="2">
        <row r="20">
          <cell r="L20">
            <v>840732</v>
          </cell>
          <cell r="M20">
            <v>0</v>
          </cell>
          <cell r="N20">
            <v>24000</v>
          </cell>
          <cell r="O20">
            <v>67500</v>
          </cell>
          <cell r="P20">
            <v>67500</v>
          </cell>
          <cell r="Q20">
            <v>6000</v>
          </cell>
          <cell r="R20">
            <v>5000</v>
          </cell>
          <cell r="S20">
            <v>140122</v>
          </cell>
          <cell r="T20">
            <v>5000</v>
          </cell>
          <cell r="U20">
            <v>100887.84</v>
          </cell>
          <cell r="V20">
            <v>1200</v>
          </cell>
          <cell r="W20">
            <v>6600</v>
          </cell>
          <cell r="X20">
            <v>8407.32</v>
          </cell>
          <cell r="Z20">
            <v>67528.575094</v>
          </cell>
        </row>
      </sheetData>
      <sheetData sheetId="3">
        <row r="33">
          <cell r="L33">
            <v>1413864</v>
          </cell>
          <cell r="M33">
            <v>50000</v>
          </cell>
          <cell r="N33">
            <v>120000</v>
          </cell>
          <cell r="O33">
            <v>67500</v>
          </cell>
          <cell r="P33">
            <v>67500</v>
          </cell>
          <cell r="Q33">
            <v>30000</v>
          </cell>
          <cell r="R33">
            <v>25000</v>
          </cell>
          <cell r="S33">
            <v>235644</v>
          </cell>
          <cell r="T33">
            <v>25000</v>
          </cell>
          <cell r="U33">
            <v>169663.68</v>
          </cell>
          <cell r="V33">
            <v>6000</v>
          </cell>
          <cell r="W33">
            <v>14480.565000000001</v>
          </cell>
          <cell r="X33">
            <v>14138.640000000001</v>
          </cell>
          <cell r="Z33">
            <v>113563.205988</v>
          </cell>
        </row>
      </sheetData>
      <sheetData sheetId="4">
        <row r="32">
          <cell r="L32">
            <v>1032768</v>
          </cell>
          <cell r="M32">
            <v>55600</v>
          </cell>
          <cell r="N32">
            <v>72000</v>
          </cell>
          <cell r="O32">
            <v>67500</v>
          </cell>
          <cell r="P32">
            <v>67500</v>
          </cell>
          <cell r="Q32">
            <v>18000</v>
          </cell>
          <cell r="R32">
            <v>15000</v>
          </cell>
          <cell r="S32">
            <v>172128</v>
          </cell>
          <cell r="T32">
            <v>15000</v>
          </cell>
          <cell r="U32">
            <v>123932.15999999999</v>
          </cell>
          <cell r="V32">
            <v>3600</v>
          </cell>
          <cell r="W32">
            <v>10139.415000000001</v>
          </cell>
          <cell r="X32">
            <v>10327.68</v>
          </cell>
          <cell r="Z32">
            <v>82953.130655999994</v>
          </cell>
        </row>
      </sheetData>
      <sheetData sheetId="5">
        <row r="32">
          <cell r="L32">
            <v>906948</v>
          </cell>
          <cell r="M32">
            <v>55600</v>
          </cell>
          <cell r="N32">
            <v>48000</v>
          </cell>
          <cell r="O32">
            <v>67500</v>
          </cell>
          <cell r="P32">
            <v>67500</v>
          </cell>
          <cell r="Q32">
            <v>12000</v>
          </cell>
          <cell r="R32">
            <v>10000</v>
          </cell>
          <cell r="S32">
            <v>151158</v>
          </cell>
          <cell r="T32">
            <v>10000</v>
          </cell>
          <cell r="U32">
            <v>108833.76</v>
          </cell>
          <cell r="V32">
            <v>2400</v>
          </cell>
          <cell r="W32">
            <v>8235.3150000000005</v>
          </cell>
          <cell r="X32">
            <v>9069.48</v>
          </cell>
          <cell r="Z32">
            <v>72847.121465999997</v>
          </cell>
        </row>
      </sheetData>
      <sheetData sheetId="6">
        <row r="38">
          <cell r="L38">
            <v>1616244</v>
          </cell>
          <cell r="M38">
            <v>160000</v>
          </cell>
          <cell r="N38">
            <v>168000</v>
          </cell>
          <cell r="O38">
            <v>67500</v>
          </cell>
          <cell r="P38">
            <v>67500</v>
          </cell>
          <cell r="Q38">
            <v>42000</v>
          </cell>
          <cell r="R38">
            <v>35000</v>
          </cell>
          <cell r="S38">
            <v>269374</v>
          </cell>
          <cell r="T38">
            <v>35000</v>
          </cell>
          <cell r="U38">
            <v>193949.28</v>
          </cell>
          <cell r="V38">
            <v>8400</v>
          </cell>
          <cell r="W38">
            <v>17448.914999999997</v>
          </cell>
          <cell r="X38">
            <v>16162.44</v>
          </cell>
          <cell r="Y38">
            <v>349732</v>
          </cell>
          <cell r="Z38">
            <v>129818.60369800002</v>
          </cell>
        </row>
      </sheetData>
      <sheetData sheetId="7">
        <row r="48">
          <cell r="L48">
            <v>1902060</v>
          </cell>
          <cell r="M48">
            <v>150000</v>
          </cell>
          <cell r="N48">
            <v>240000</v>
          </cell>
          <cell r="O48">
            <v>67500</v>
          </cell>
          <cell r="P48">
            <v>67500</v>
          </cell>
          <cell r="Q48">
            <v>60000</v>
          </cell>
          <cell r="R48">
            <v>50000</v>
          </cell>
          <cell r="S48">
            <v>317010</v>
          </cell>
          <cell r="T48">
            <v>50000</v>
          </cell>
          <cell r="U48">
            <v>228247.19999999995</v>
          </cell>
          <cell r="V48">
            <v>12000</v>
          </cell>
          <cell r="W48">
            <v>21918.105</v>
          </cell>
          <cell r="X48">
            <v>19020.600000000002</v>
          </cell>
          <cell r="Z48">
            <v>138872.08431999999</v>
          </cell>
        </row>
      </sheetData>
      <sheetData sheetId="8">
        <row r="33">
          <cell r="L33">
            <v>1349664</v>
          </cell>
          <cell r="M33">
            <v>150000</v>
          </cell>
          <cell r="N33">
            <v>144000</v>
          </cell>
          <cell r="O33">
            <v>67500</v>
          </cell>
          <cell r="P33">
            <v>67500</v>
          </cell>
          <cell r="Q33">
            <v>36000</v>
          </cell>
          <cell r="R33">
            <v>30000</v>
          </cell>
          <cell r="S33">
            <v>224944</v>
          </cell>
          <cell r="T33">
            <v>30000</v>
          </cell>
          <cell r="U33">
            <v>161959.67999999999</v>
          </cell>
          <cell r="V33">
            <v>7200</v>
          </cell>
          <cell r="W33">
            <v>14496.734999999999</v>
          </cell>
          <cell r="X33">
            <v>13496.64</v>
          </cell>
          <cell r="Z33">
            <v>98853.830094000004</v>
          </cell>
        </row>
      </sheetData>
      <sheetData sheetId="9">
        <row r="42">
          <cell r="L42">
            <v>3566736</v>
          </cell>
          <cell r="M42">
            <v>100640</v>
          </cell>
          <cell r="N42">
            <v>240000</v>
          </cell>
          <cell r="O42">
            <v>67500</v>
          </cell>
          <cell r="P42">
            <v>67500</v>
          </cell>
          <cell r="Q42">
            <v>60000</v>
          </cell>
          <cell r="R42">
            <v>50000</v>
          </cell>
          <cell r="S42">
            <v>594456</v>
          </cell>
          <cell r="T42">
            <v>50000</v>
          </cell>
          <cell r="U42">
            <v>428008.31999999995</v>
          </cell>
          <cell r="V42">
            <v>12000</v>
          </cell>
          <cell r="W42">
            <v>40720.184999999998</v>
          </cell>
          <cell r="X42">
            <v>35667.360000000001</v>
          </cell>
          <cell r="Y42">
            <v>200000</v>
          </cell>
          <cell r="Z42">
            <v>295280.57079599996</v>
          </cell>
          <cell r="AA42">
            <v>172800</v>
          </cell>
          <cell r="AB42">
            <v>392340.96</v>
          </cell>
          <cell r="AC42">
            <v>16200</v>
          </cell>
        </row>
      </sheetData>
      <sheetData sheetId="10">
        <row r="32">
          <cell r="L32">
            <v>991248</v>
          </cell>
          <cell r="M32">
            <v>125000</v>
          </cell>
          <cell r="N32">
            <v>72000</v>
          </cell>
          <cell r="O32">
            <v>67500</v>
          </cell>
          <cell r="P32">
            <v>67500</v>
          </cell>
          <cell r="Q32">
            <v>18000</v>
          </cell>
          <cell r="R32">
            <v>15000</v>
          </cell>
          <cell r="S32">
            <v>165208</v>
          </cell>
          <cell r="T32">
            <v>15000</v>
          </cell>
          <cell r="U32">
            <v>118949.75999999999</v>
          </cell>
          <cell r="V32">
            <v>3600</v>
          </cell>
          <cell r="W32">
            <v>9908.0849999999991</v>
          </cell>
          <cell r="X32">
            <v>9912.4800000000014</v>
          </cell>
          <cell r="Z32">
            <v>71617.243761999998</v>
          </cell>
          <cell r="AA32">
            <v>18000</v>
          </cell>
          <cell r="AB32">
            <v>125000</v>
          </cell>
        </row>
      </sheetData>
      <sheetData sheetId="11">
        <row r="42">
          <cell r="L42">
            <v>2282748</v>
          </cell>
          <cell r="M42">
            <v>60000</v>
          </cell>
          <cell r="N42">
            <v>192000</v>
          </cell>
          <cell r="O42">
            <v>112500</v>
          </cell>
          <cell r="P42">
            <v>112500</v>
          </cell>
          <cell r="Q42">
            <v>48000</v>
          </cell>
          <cell r="R42">
            <v>40000</v>
          </cell>
          <cell r="S42">
            <v>380458</v>
          </cell>
          <cell r="T42">
            <v>40000</v>
          </cell>
          <cell r="U42">
            <v>273929.76</v>
          </cell>
          <cell r="V42">
            <v>9600</v>
          </cell>
          <cell r="W42">
            <v>25843.455000000002</v>
          </cell>
          <cell r="X42">
            <v>22827.48</v>
          </cell>
          <cell r="Z42">
            <v>183352.98256599999</v>
          </cell>
        </row>
      </sheetData>
      <sheetData sheetId="12">
        <row r="33">
          <cell r="L33">
            <v>1300332</v>
          </cell>
          <cell r="M33">
            <v>388000</v>
          </cell>
          <cell r="N33">
            <v>96000</v>
          </cell>
          <cell r="O33">
            <v>67500</v>
          </cell>
          <cell r="P33">
            <v>67500</v>
          </cell>
          <cell r="Q33">
            <v>24000</v>
          </cell>
          <cell r="R33">
            <v>20000</v>
          </cell>
          <cell r="S33">
            <v>216722</v>
          </cell>
          <cell r="T33">
            <v>20000</v>
          </cell>
          <cell r="U33">
            <v>156039.84</v>
          </cell>
          <cell r="V33">
            <v>4800</v>
          </cell>
          <cell r="W33">
            <v>12919.5</v>
          </cell>
          <cell r="X33">
            <v>13003.32</v>
          </cell>
          <cell r="Z33">
            <v>104444.183294</v>
          </cell>
        </row>
      </sheetData>
      <sheetData sheetId="13">
        <row r="32">
          <cell r="L32">
            <v>191940</v>
          </cell>
          <cell r="M32">
            <v>120922.75</v>
          </cell>
          <cell r="N32">
            <v>24000</v>
          </cell>
          <cell r="O32">
            <v>0</v>
          </cell>
          <cell r="P32">
            <v>0</v>
          </cell>
          <cell r="Q32">
            <v>6000</v>
          </cell>
          <cell r="R32">
            <v>5000</v>
          </cell>
          <cell r="S32">
            <v>31990</v>
          </cell>
          <cell r="T32">
            <v>5000</v>
          </cell>
          <cell r="U32">
            <v>23032.799999999999</v>
          </cell>
          <cell r="V32">
            <v>1200</v>
          </cell>
          <cell r="W32">
            <v>2639.1750000000002</v>
          </cell>
          <cell r="X32">
            <v>1919.4</v>
          </cell>
          <cell r="Z32">
            <v>15416.844730000001</v>
          </cell>
        </row>
      </sheetData>
      <sheetData sheetId="14">
        <row r="32">
          <cell r="L32">
            <v>232608</v>
          </cell>
          <cell r="M32">
            <v>150000</v>
          </cell>
          <cell r="N32">
            <v>48000</v>
          </cell>
          <cell r="O32">
            <v>0</v>
          </cell>
          <cell r="P32">
            <v>0</v>
          </cell>
          <cell r="Q32">
            <v>12000</v>
          </cell>
          <cell r="R32">
            <v>10000</v>
          </cell>
          <cell r="S32">
            <v>38768</v>
          </cell>
          <cell r="T32">
            <v>10000</v>
          </cell>
          <cell r="U32">
            <v>27912.959999999999</v>
          </cell>
          <cell r="V32">
            <v>2400</v>
          </cell>
          <cell r="W32">
            <v>3198.3599999999997</v>
          </cell>
          <cell r="X32">
            <v>2326.08</v>
          </cell>
          <cell r="Z32">
            <v>18683.345935999998</v>
          </cell>
        </row>
      </sheetData>
      <sheetData sheetId="15">
        <row r="32">
          <cell r="L32">
            <v>379548</v>
          </cell>
          <cell r="M32">
            <v>244596</v>
          </cell>
          <cell r="N32">
            <v>72000</v>
          </cell>
          <cell r="Q32">
            <v>18000</v>
          </cell>
          <cell r="R32">
            <v>15000</v>
          </cell>
          <cell r="S32">
            <v>63258</v>
          </cell>
          <cell r="T32">
            <v>15000</v>
          </cell>
          <cell r="U32">
            <v>45545.759999999995</v>
          </cell>
          <cell r="V32">
            <v>3600</v>
          </cell>
          <cell r="W32">
            <v>5218.7849999999999</v>
          </cell>
          <cell r="X32">
            <v>3795.4800000000005</v>
          </cell>
          <cell r="Z32">
            <v>30485.738165999996</v>
          </cell>
        </row>
      </sheetData>
      <sheetData sheetId="16" refreshError="1"/>
      <sheetData sheetId="17">
        <row r="32">
          <cell r="AB3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MO(Misc.)"/>
      <sheetName val="SB(L)"/>
      <sheetName val="SB(S)"/>
      <sheetName val="MPDC"/>
      <sheetName val="LCR"/>
      <sheetName val="MBO"/>
      <sheetName val="Accounting"/>
      <sheetName val="MTO"/>
      <sheetName val="Assessor"/>
      <sheetName val="MHO"/>
      <sheetName val="MSWD"/>
      <sheetName val="Agri"/>
      <sheetName val="MEO"/>
      <sheetName val="MENRO"/>
      <sheetName val="LDRRM"/>
      <sheetName val="MRKT"/>
      <sheetName val="piwas"/>
      <sheetName val="2019"/>
      <sheetName val="Sheet1"/>
      <sheetName val="CTR"/>
      <sheetName val="Summary_PS_2017-2019"/>
      <sheetName val="CO"/>
      <sheetName val="MOOE_Overall_General_Fund"/>
      <sheetName val="Summary-2017-2019"/>
    </sheetNames>
    <sheetDataSet>
      <sheetData sheetId="0"/>
      <sheetData sheetId="1">
        <row r="25">
          <cell r="C25" t="str">
            <v>5-02-03-090</v>
          </cell>
        </row>
        <row r="27">
          <cell r="C27" t="str">
            <v>5-02-13-060</v>
          </cell>
        </row>
        <row r="60">
          <cell r="C60" t="str">
            <v>5-02-13-050</v>
          </cell>
        </row>
      </sheetData>
      <sheetData sheetId="2"/>
      <sheetData sheetId="3">
        <row r="33">
          <cell r="C33" t="str">
            <v>5-02-02-010</v>
          </cell>
        </row>
        <row r="36">
          <cell r="C36" t="str">
            <v>5-02-12-990</v>
          </cell>
        </row>
      </sheetData>
      <sheetData sheetId="4"/>
      <sheetData sheetId="5"/>
      <sheetData sheetId="6"/>
      <sheetData sheetId="7"/>
      <sheetData sheetId="8"/>
      <sheetData sheetId="9">
        <row r="31">
          <cell r="C31" t="str">
            <v>5-02-01-010</v>
          </cell>
        </row>
        <row r="32">
          <cell r="C32" t="str">
            <v>5-02-02-010</v>
          </cell>
        </row>
        <row r="33">
          <cell r="C33" t="str">
            <v>5-02-03-010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C32" t="str">
            <v>5-02-01-010</v>
          </cell>
        </row>
        <row r="33">
          <cell r="C33" t="str">
            <v>5-02-02-010</v>
          </cell>
        </row>
        <row r="34">
          <cell r="C34" t="str">
            <v>5-02-03-010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%"/>
      <sheetName val="5%"/>
      <sheetName val="mpdc2018"/>
      <sheetName val="ASSESS"/>
      <sheetName val="AGRI"/>
      <sheetName val="MENRO"/>
      <sheetName val="LCPC"/>
      <sheetName val="PWD-OSCA"/>
      <sheetName val="GAD"/>
      <sheetName val="Peace&amp;Order"/>
      <sheetName val="summary"/>
      <sheetName val="GAD (2)"/>
      <sheetName val="SB-not included"/>
      <sheetName val="GAD-2018"/>
      <sheetName val="MPDC-noe"/>
      <sheetName val="mswdo-2018"/>
    </sheetNames>
    <sheetDataSet>
      <sheetData sheetId="0"/>
      <sheetData sheetId="1"/>
      <sheetData sheetId="2">
        <row r="19">
          <cell r="E19" t="str">
            <v>5-02-01-010</v>
          </cell>
        </row>
        <row r="41">
          <cell r="E41" t="str">
            <v>5-02-99-990</v>
          </cell>
        </row>
        <row r="47">
          <cell r="E47" t="str">
            <v>5-02-01-010</v>
          </cell>
        </row>
        <row r="50">
          <cell r="E50" t="str">
            <v>5-02-99-990</v>
          </cell>
        </row>
      </sheetData>
      <sheetData sheetId="3"/>
      <sheetData sheetId="4">
        <row r="30">
          <cell r="E30" t="str">
            <v>5-01-03-990</v>
          </cell>
        </row>
        <row r="31">
          <cell r="E31" t="str">
            <v>5-02-02-010</v>
          </cell>
        </row>
      </sheetData>
      <sheetData sheetId="5">
        <row r="29">
          <cell r="E29" t="str">
            <v>5-02-99-990</v>
          </cell>
        </row>
      </sheetData>
      <sheetData sheetId="6"/>
      <sheetData sheetId="7">
        <row r="60">
          <cell r="J60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BS"/>
      <sheetName val="2017-I &amp; E"/>
      <sheetName val="2017-I &amp; E (2)"/>
    </sheetNames>
    <sheetDataSet>
      <sheetData sheetId="0"/>
      <sheetData sheetId="1"/>
      <sheetData sheetId="2">
        <row r="168">
          <cell r="D168" t="str">
            <v>5-02-13-040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opLeftCell="A146" workbookViewId="0">
      <selection activeCell="N174" sqref="N174"/>
    </sheetView>
  </sheetViews>
  <sheetFormatPr defaultRowHeight="15" x14ac:dyDescent="0.25"/>
  <cols>
    <col min="1" max="1" width="55.42578125" style="1004" customWidth="1"/>
    <col min="2" max="2" width="14" style="1045" customWidth="1"/>
    <col min="3" max="3" width="15.5703125" style="41" customWidth="1"/>
    <col min="4" max="5" width="15.5703125" style="41" hidden="1" customWidth="1"/>
    <col min="6" max="7" width="15.5703125" style="41" customWidth="1"/>
    <col min="8" max="8" width="16.5703125" style="1003" hidden="1" customWidth="1"/>
    <col min="9" max="9" width="25.140625" style="1004" hidden="1" customWidth="1"/>
    <col min="10" max="10" width="12.5703125" style="1004" hidden="1" customWidth="1"/>
    <col min="11" max="11" width="13.42578125" style="1004" hidden="1" customWidth="1"/>
    <col min="12" max="13" width="0" style="1004" hidden="1" customWidth="1"/>
    <col min="14" max="18" width="14.28515625" style="1003" bestFit="1" customWidth="1"/>
    <col min="19" max="19" width="14.28515625" style="1003" customWidth="1"/>
    <col min="20" max="20" width="14.28515625" style="1004" bestFit="1" customWidth="1"/>
    <col min="21" max="16384" width="9.140625" style="1004"/>
  </cols>
  <sheetData>
    <row r="1" spans="1:9" x14ac:dyDescent="0.25">
      <c r="A1" s="41" t="s">
        <v>691</v>
      </c>
      <c r="B1" s="1001"/>
      <c r="G1" s="1002"/>
    </row>
    <row r="2" spans="1:9" x14ac:dyDescent="0.25">
      <c r="A2" s="41"/>
      <c r="B2" s="1001"/>
    </row>
    <row r="3" spans="1:9" x14ac:dyDescent="0.25">
      <c r="A3" s="1068" t="s">
        <v>692</v>
      </c>
      <c r="B3" s="1068"/>
      <c r="C3" s="1068"/>
      <c r="D3" s="1068"/>
      <c r="E3" s="1068"/>
      <c r="F3" s="1068"/>
      <c r="G3" s="1068"/>
    </row>
    <row r="4" spans="1:9" x14ac:dyDescent="0.25">
      <c r="A4" s="1068" t="s">
        <v>693</v>
      </c>
      <c r="B4" s="1068"/>
      <c r="C4" s="1068"/>
      <c r="D4" s="1068"/>
      <c r="E4" s="1068"/>
      <c r="F4" s="1068"/>
      <c r="G4" s="1068"/>
    </row>
    <row r="5" spans="1:9" x14ac:dyDescent="0.25">
      <c r="A5" s="1068" t="s">
        <v>694</v>
      </c>
      <c r="B5" s="1068"/>
      <c r="C5" s="1068"/>
      <c r="D5" s="1068"/>
      <c r="E5" s="1068"/>
      <c r="F5" s="1068"/>
      <c r="G5" s="1068"/>
    </row>
    <row r="6" spans="1:9" x14ac:dyDescent="0.25">
      <c r="A6" s="1068" t="s">
        <v>47</v>
      </c>
      <c r="B6" s="1068"/>
      <c r="C6" s="1068"/>
      <c r="D6" s="1068"/>
      <c r="E6" s="1068"/>
      <c r="F6" s="1068"/>
      <c r="G6" s="1068"/>
    </row>
    <row r="7" spans="1:9" x14ac:dyDescent="0.25">
      <c r="A7" s="1068" t="s">
        <v>695</v>
      </c>
      <c r="B7" s="1068"/>
      <c r="C7" s="1068"/>
      <c r="D7" s="1068"/>
      <c r="E7" s="1068"/>
      <c r="F7" s="1068"/>
      <c r="G7" s="1068"/>
    </row>
    <row r="8" spans="1:9" x14ac:dyDescent="0.25">
      <c r="A8" s="1068"/>
      <c r="B8" s="1068"/>
      <c r="C8" s="1068"/>
      <c r="D8" s="1068"/>
      <c r="E8" s="1068"/>
      <c r="F8" s="1068"/>
      <c r="G8" s="1068"/>
    </row>
    <row r="9" spans="1:9" x14ac:dyDescent="0.25">
      <c r="A9" s="1059" t="s">
        <v>0</v>
      </c>
      <c r="B9" s="1061" t="s">
        <v>1</v>
      </c>
      <c r="C9" s="1005" t="s">
        <v>2</v>
      </c>
      <c r="D9" s="1063" t="s">
        <v>327</v>
      </c>
      <c r="E9" s="1063"/>
      <c r="F9" s="1063"/>
      <c r="G9" s="1005" t="s">
        <v>3</v>
      </c>
      <c r="H9" s="1064"/>
    </row>
    <row r="10" spans="1:9" x14ac:dyDescent="0.25">
      <c r="A10" s="1060"/>
      <c r="B10" s="1062"/>
      <c r="C10" s="1006">
        <v>2017</v>
      </c>
      <c r="D10" s="423" t="s">
        <v>696</v>
      </c>
      <c r="E10" s="423" t="s">
        <v>697</v>
      </c>
      <c r="F10" s="1007">
        <v>2018</v>
      </c>
      <c r="G10" s="1008">
        <v>2019</v>
      </c>
      <c r="H10" s="1064"/>
    </row>
    <row r="11" spans="1:9" x14ac:dyDescent="0.25">
      <c r="A11" s="1060"/>
      <c r="B11" s="1062"/>
      <c r="C11" s="1006" t="s">
        <v>4</v>
      </c>
      <c r="D11" s="423" t="s">
        <v>4</v>
      </c>
      <c r="E11" s="423" t="s">
        <v>7</v>
      </c>
      <c r="F11" s="423" t="s">
        <v>7</v>
      </c>
      <c r="G11" s="1006" t="s">
        <v>6</v>
      </c>
      <c r="H11" s="619"/>
    </row>
    <row r="12" spans="1:9" x14ac:dyDescent="0.25">
      <c r="A12" s="1009">
        <v>1</v>
      </c>
      <c r="B12" s="1009">
        <v>2</v>
      </c>
      <c r="C12" s="1010">
        <v>3</v>
      </c>
      <c r="D12" s="1010">
        <v>4</v>
      </c>
      <c r="E12" s="1010">
        <v>5</v>
      </c>
      <c r="F12" s="1010">
        <v>4</v>
      </c>
      <c r="G12" s="1010">
        <v>5</v>
      </c>
      <c r="H12" s="619"/>
    </row>
    <row r="13" spans="1:9" x14ac:dyDescent="0.25">
      <c r="A13" s="1011" t="s">
        <v>698</v>
      </c>
      <c r="B13" s="1012"/>
      <c r="C13" s="1013"/>
      <c r="D13" s="1013"/>
      <c r="E13" s="1013"/>
      <c r="F13" s="1013"/>
      <c r="G13" s="1013"/>
      <c r="H13" s="1003">
        <v>105706817</v>
      </c>
      <c r="I13" s="1014">
        <v>45990274.230999999</v>
      </c>
    </row>
    <row r="14" spans="1:9" x14ac:dyDescent="0.25">
      <c r="A14" s="1011" t="s">
        <v>699</v>
      </c>
      <c r="B14" s="1012"/>
      <c r="C14" s="1013"/>
      <c r="D14" s="1013"/>
      <c r="E14" s="1013"/>
      <c r="F14" s="1013"/>
      <c r="G14" s="1013"/>
      <c r="H14" s="1003" t="e">
        <v>#REF!</v>
      </c>
      <c r="I14" s="1014" t="e">
        <v>#REF!</v>
      </c>
    </row>
    <row r="15" spans="1:9" x14ac:dyDescent="0.25">
      <c r="A15" s="1015" t="s">
        <v>700</v>
      </c>
      <c r="B15" s="1016" t="s">
        <v>73</v>
      </c>
      <c r="C15" s="1013">
        <v>17238403.279999997</v>
      </c>
      <c r="D15" s="1013">
        <v>10955064.950000001</v>
      </c>
      <c r="E15" s="1013">
        <v>12556833.6</v>
      </c>
      <c r="F15" s="1013">
        <v>23511898.550000001</v>
      </c>
      <c r="G15" s="1013">
        <v>28826676</v>
      </c>
      <c r="I15" s="1017" t="e">
        <v>#REF!</v>
      </c>
    </row>
    <row r="16" spans="1:9" x14ac:dyDescent="0.25">
      <c r="A16" s="1015" t="s">
        <v>701</v>
      </c>
      <c r="B16" s="1018" t="s">
        <v>86</v>
      </c>
      <c r="C16" s="1013">
        <v>3104503.48</v>
      </c>
      <c r="D16" s="1013">
        <v>929479.55</v>
      </c>
      <c r="E16" s="1013">
        <v>1809651.21</v>
      </c>
      <c r="F16" s="1013">
        <v>2739130.76</v>
      </c>
      <c r="G16" s="1013">
        <v>2566836.75</v>
      </c>
      <c r="I16" s="1014" t="e">
        <v>#REF!</v>
      </c>
    </row>
    <row r="17" spans="1:9" x14ac:dyDescent="0.25">
      <c r="A17" s="1019" t="s">
        <v>702</v>
      </c>
      <c r="B17" s="1018" t="s">
        <v>74</v>
      </c>
      <c r="C17" s="1013">
        <v>1612447.6400000001</v>
      </c>
      <c r="D17" s="1013">
        <v>881495.52</v>
      </c>
      <c r="E17" s="1013">
        <v>901558.64</v>
      </c>
      <c r="F17" s="1013">
        <v>1783054.1600000001</v>
      </c>
      <c r="G17" s="1013">
        <v>2064000</v>
      </c>
      <c r="I17" s="1020" t="e">
        <v>#REF!</v>
      </c>
    </row>
    <row r="18" spans="1:9" x14ac:dyDescent="0.25">
      <c r="A18" s="1019" t="s">
        <v>703</v>
      </c>
      <c r="B18" s="1018" t="s">
        <v>75</v>
      </c>
      <c r="C18" s="1013">
        <v>1440000</v>
      </c>
      <c r="D18" s="1013">
        <v>720000</v>
      </c>
      <c r="E18" s="1013">
        <v>654000</v>
      </c>
      <c r="F18" s="1013">
        <v>1374000</v>
      </c>
      <c r="G18" s="1013">
        <v>1620000</v>
      </c>
    </row>
    <row r="19" spans="1:9" x14ac:dyDescent="0.25">
      <c r="A19" s="1019" t="s">
        <v>704</v>
      </c>
      <c r="B19" s="1018" t="s">
        <v>76</v>
      </c>
      <c r="C19" s="1013">
        <v>1440000</v>
      </c>
      <c r="D19" s="1013">
        <v>720000</v>
      </c>
      <c r="E19" s="1013">
        <v>654000</v>
      </c>
      <c r="F19" s="1013">
        <v>1374000</v>
      </c>
      <c r="G19" s="1013">
        <v>1620000</v>
      </c>
      <c r="I19" s="1014">
        <v>17214978.91</v>
      </c>
    </row>
    <row r="20" spans="1:9" x14ac:dyDescent="0.25">
      <c r="A20" s="1019" t="s">
        <v>705</v>
      </c>
      <c r="B20" s="1018" t="s">
        <v>77</v>
      </c>
      <c r="C20" s="1013">
        <v>350000</v>
      </c>
      <c r="D20" s="1013">
        <v>17000</v>
      </c>
      <c r="E20" s="1013">
        <v>387000</v>
      </c>
      <c r="F20" s="1013">
        <v>404000</v>
      </c>
      <c r="G20" s="1013">
        <v>516000</v>
      </c>
    </row>
    <row r="21" spans="1:9" x14ac:dyDescent="0.25">
      <c r="A21" s="1019" t="s">
        <v>706</v>
      </c>
      <c r="B21" s="1018" t="s">
        <v>78</v>
      </c>
      <c r="C21" s="1013">
        <v>332000</v>
      </c>
      <c r="D21" s="1013">
        <v>0</v>
      </c>
      <c r="E21" s="1013">
        <v>422400</v>
      </c>
      <c r="F21" s="1013">
        <v>422400</v>
      </c>
      <c r="G21" s="1013">
        <v>430000</v>
      </c>
      <c r="I21" s="1014">
        <v>9167600</v>
      </c>
    </row>
    <row r="22" spans="1:9" x14ac:dyDescent="0.25">
      <c r="A22" s="1019" t="s">
        <v>707</v>
      </c>
      <c r="B22" s="1018" t="s">
        <v>79</v>
      </c>
      <c r="C22" s="1013">
        <v>313000</v>
      </c>
      <c r="D22" s="1013">
        <v>0</v>
      </c>
      <c r="E22" s="1013">
        <v>393033.8</v>
      </c>
      <c r="F22" s="1013">
        <v>393033.8</v>
      </c>
      <c r="G22" s="1013">
        <v>430000</v>
      </c>
      <c r="I22" s="1014">
        <v>26382578.91</v>
      </c>
    </row>
    <row r="23" spans="1:9" x14ac:dyDescent="0.25">
      <c r="A23" s="1019" t="s">
        <v>708</v>
      </c>
      <c r="B23" s="1018" t="s">
        <v>80</v>
      </c>
      <c r="C23" s="1013">
        <v>3226407.2</v>
      </c>
      <c r="D23" s="1013">
        <v>1634450</v>
      </c>
      <c r="E23" s="1013">
        <v>2212317</v>
      </c>
      <c r="F23" s="1013">
        <v>3846767</v>
      </c>
      <c r="G23" s="1013">
        <v>4804446</v>
      </c>
      <c r="I23" s="1014" t="e">
        <v>#REF!</v>
      </c>
    </row>
    <row r="24" spans="1:9" x14ac:dyDescent="0.25">
      <c r="A24" s="1019" t="s">
        <v>709</v>
      </c>
      <c r="B24" s="1018" t="s">
        <v>81</v>
      </c>
      <c r="C24" s="1013">
        <v>1716570.2</v>
      </c>
      <c r="D24" s="1013">
        <v>1319592.2900000003</v>
      </c>
      <c r="E24" s="1013">
        <v>1496895.08</v>
      </c>
      <c r="F24" s="1013">
        <v>2816487.37</v>
      </c>
      <c r="G24" s="1013">
        <v>3459201.1199999992</v>
      </c>
    </row>
    <row r="25" spans="1:9" x14ac:dyDescent="0.25">
      <c r="A25" s="1019" t="s">
        <v>710</v>
      </c>
      <c r="B25" s="1018" t="s">
        <v>82</v>
      </c>
      <c r="C25" s="1013">
        <v>62173.599999999999</v>
      </c>
      <c r="D25" s="1013">
        <v>45100</v>
      </c>
      <c r="E25" s="1013">
        <v>45450</v>
      </c>
      <c r="F25" s="1013">
        <v>90550</v>
      </c>
      <c r="G25" s="1013">
        <v>103200</v>
      </c>
    </row>
    <row r="26" spans="1:9" x14ac:dyDescent="0.25">
      <c r="A26" s="1019" t="s">
        <v>711</v>
      </c>
      <c r="B26" s="1018" t="s">
        <v>83</v>
      </c>
      <c r="C26" s="1013">
        <v>190613.5</v>
      </c>
      <c r="D26" s="1013">
        <v>122340.27</v>
      </c>
      <c r="E26" s="1013">
        <v>121314.65000000002</v>
      </c>
      <c r="F26" s="1013">
        <v>243654.92000000004</v>
      </c>
      <c r="G26" s="1013">
        <v>290708.54999999993</v>
      </c>
    </row>
    <row r="27" spans="1:9" x14ac:dyDescent="0.25">
      <c r="A27" s="1019" t="s">
        <v>712</v>
      </c>
      <c r="B27" s="1018" t="s">
        <v>84</v>
      </c>
      <c r="C27" s="1013">
        <v>57693.009999999995</v>
      </c>
      <c r="D27" s="1013">
        <v>44471.219999999994</v>
      </c>
      <c r="E27" s="1013">
        <v>63017.47</v>
      </c>
      <c r="F27" s="1013">
        <v>107488.69</v>
      </c>
      <c r="G27" s="1013">
        <v>288266.76</v>
      </c>
    </row>
    <row r="28" spans="1:9" x14ac:dyDescent="0.25">
      <c r="A28" s="1019" t="s">
        <v>713</v>
      </c>
      <c r="B28" s="1021" t="s">
        <v>85</v>
      </c>
      <c r="C28" s="1013">
        <v>1261316.6999999997</v>
      </c>
      <c r="D28" s="1013">
        <v>1662086.4599999997</v>
      </c>
      <c r="E28" s="1013">
        <v>182167.67999999999</v>
      </c>
      <c r="F28" s="1013">
        <v>1844254.1399999997</v>
      </c>
      <c r="G28" s="1013">
        <v>2292731.1185280001</v>
      </c>
    </row>
    <row r="29" spans="1:9" x14ac:dyDescent="0.25">
      <c r="A29" s="1019" t="s">
        <v>714</v>
      </c>
      <c r="B29" s="1018" t="s">
        <v>87</v>
      </c>
      <c r="C29" s="1013">
        <v>200000</v>
      </c>
      <c r="D29" s="1013">
        <v>102694.45</v>
      </c>
      <c r="E29" s="1013">
        <v>135425.91</v>
      </c>
      <c r="F29" s="1013">
        <v>238120.36</v>
      </c>
      <c r="G29" s="1013">
        <v>1849732</v>
      </c>
    </row>
    <row r="30" spans="1:9" x14ac:dyDescent="0.25">
      <c r="A30" s="1019" t="s">
        <v>715</v>
      </c>
      <c r="B30" s="1018" t="s">
        <v>88</v>
      </c>
      <c r="C30" s="1013">
        <v>0</v>
      </c>
      <c r="D30" s="1013">
        <v>0</v>
      </c>
      <c r="E30" s="1013">
        <v>70000</v>
      </c>
      <c r="F30" s="1013">
        <v>70000</v>
      </c>
      <c r="G30" s="1013">
        <v>100000</v>
      </c>
    </row>
    <row r="31" spans="1:9" x14ac:dyDescent="0.25">
      <c r="A31" s="1019" t="s">
        <v>716</v>
      </c>
      <c r="B31" s="1018" t="s">
        <v>89</v>
      </c>
      <c r="C31" s="1013">
        <v>172800</v>
      </c>
      <c r="D31" s="1013">
        <v>86400</v>
      </c>
      <c r="E31" s="1013">
        <v>95400</v>
      </c>
      <c r="F31" s="1013">
        <v>181800</v>
      </c>
      <c r="G31" s="1013">
        <v>190800</v>
      </c>
    </row>
    <row r="32" spans="1:9" x14ac:dyDescent="0.25">
      <c r="A32" s="1019" t="s">
        <v>717</v>
      </c>
      <c r="B32" s="1021" t="s">
        <v>90</v>
      </c>
      <c r="C32" s="1013">
        <v>16200</v>
      </c>
      <c r="D32" s="1013">
        <v>8100</v>
      </c>
      <c r="E32" s="1013">
        <v>8100</v>
      </c>
      <c r="F32" s="1013">
        <v>16200</v>
      </c>
      <c r="G32" s="1013">
        <v>16200</v>
      </c>
    </row>
    <row r="33" spans="1:21" x14ac:dyDescent="0.25">
      <c r="A33" s="1019" t="s">
        <v>718</v>
      </c>
      <c r="B33" s="1018" t="s">
        <v>91</v>
      </c>
      <c r="C33" s="1013">
        <v>345577.25</v>
      </c>
      <c r="D33" s="1013">
        <v>127375.75</v>
      </c>
      <c r="E33" s="1013">
        <v>301383.65000000002</v>
      </c>
      <c r="F33" s="1013">
        <v>428759.4</v>
      </c>
      <c r="G33" s="1013">
        <v>517340.96</v>
      </c>
    </row>
    <row r="34" spans="1:21" x14ac:dyDescent="0.25">
      <c r="A34" s="1011" t="s">
        <v>719</v>
      </c>
      <c r="B34" s="1018"/>
      <c r="C34" s="1022">
        <v>33079705.859999999</v>
      </c>
      <c r="D34" s="1022">
        <v>19375650.460000001</v>
      </c>
      <c r="E34" s="1022">
        <v>22509948.689999994</v>
      </c>
      <c r="F34" s="1022">
        <v>41885599.149999999</v>
      </c>
      <c r="G34" s="1022">
        <v>51986139.258527994</v>
      </c>
      <c r="H34" s="1003">
        <v>11066708.638527997</v>
      </c>
      <c r="I34" s="1014">
        <v>41885599.149999991</v>
      </c>
    </row>
    <row r="35" spans="1:21" x14ac:dyDescent="0.25">
      <c r="A35" s="1011" t="s">
        <v>720</v>
      </c>
      <c r="B35" s="1018"/>
      <c r="C35" s="1023"/>
      <c r="D35" s="1023"/>
      <c r="E35" s="1023"/>
      <c r="F35" s="1023"/>
      <c r="G35" s="1023"/>
      <c r="I35" s="1014">
        <v>0</v>
      </c>
    </row>
    <row r="36" spans="1:21" x14ac:dyDescent="0.25">
      <c r="A36" s="1024" t="s">
        <v>721</v>
      </c>
      <c r="B36" s="432" t="s">
        <v>92</v>
      </c>
      <c r="C36" s="1013">
        <v>3462237.0199999996</v>
      </c>
      <c r="D36" s="1013">
        <v>1209930.0899999999</v>
      </c>
      <c r="E36" s="1013">
        <v>1014435.46</v>
      </c>
      <c r="F36" s="1013">
        <v>2224365.5499999998</v>
      </c>
      <c r="G36" s="1013">
        <v>1920000</v>
      </c>
    </row>
    <row r="37" spans="1:21" x14ac:dyDescent="0.25">
      <c r="A37" s="1024" t="s">
        <v>722</v>
      </c>
      <c r="B37" s="432" t="s">
        <v>93</v>
      </c>
      <c r="C37" s="1013">
        <v>476553.85</v>
      </c>
      <c r="D37" s="1013">
        <v>355486.44</v>
      </c>
      <c r="E37" s="1013">
        <v>703952.78</v>
      </c>
      <c r="F37" s="1013">
        <v>1059439.22</v>
      </c>
      <c r="G37" s="1013">
        <v>966000</v>
      </c>
    </row>
    <row r="38" spans="1:21" x14ac:dyDescent="0.25">
      <c r="A38" s="1024" t="s">
        <v>723</v>
      </c>
      <c r="B38" s="432" t="s">
        <v>94</v>
      </c>
      <c r="C38" s="1013">
        <v>638648.53999999992</v>
      </c>
      <c r="D38" s="1013">
        <v>310885.8</v>
      </c>
      <c r="E38" s="1013">
        <v>443818.61999999982</v>
      </c>
      <c r="F38" s="1013">
        <v>754704.41999999981</v>
      </c>
      <c r="G38" s="1013">
        <v>760000</v>
      </c>
    </row>
    <row r="39" spans="1:21" x14ac:dyDescent="0.25">
      <c r="A39" s="1024" t="s">
        <v>724</v>
      </c>
      <c r="B39" s="432" t="s">
        <v>98</v>
      </c>
      <c r="C39" s="1013">
        <v>654793.14999999991</v>
      </c>
      <c r="D39" s="1013">
        <v>268612.23</v>
      </c>
      <c r="E39" s="1013">
        <v>407002.69000000006</v>
      </c>
      <c r="F39" s="1013">
        <v>675614.92</v>
      </c>
      <c r="G39" s="1013">
        <v>727000</v>
      </c>
    </row>
    <row r="40" spans="1:21" s="1003" customFormat="1" x14ac:dyDescent="0.25">
      <c r="A40" s="1025" t="s">
        <v>725</v>
      </c>
      <c r="B40" s="432" t="s">
        <v>118</v>
      </c>
      <c r="C40" s="1013">
        <v>0</v>
      </c>
      <c r="D40" s="1013">
        <v>0</v>
      </c>
      <c r="E40" s="1013">
        <v>0</v>
      </c>
      <c r="F40" s="1013">
        <v>0</v>
      </c>
      <c r="G40" s="1013">
        <v>165200</v>
      </c>
      <c r="I40" s="1004"/>
      <c r="J40" s="1004"/>
      <c r="K40" s="1004"/>
      <c r="L40" s="1004"/>
      <c r="M40" s="1004"/>
      <c r="T40" s="1004"/>
      <c r="U40" s="1004"/>
    </row>
    <row r="41" spans="1:21" s="1003" customFormat="1" x14ac:dyDescent="0.25">
      <c r="A41" s="1026" t="s">
        <v>726</v>
      </c>
      <c r="B41" s="432" t="s">
        <v>100</v>
      </c>
      <c r="C41" s="1013">
        <v>199521.3</v>
      </c>
      <c r="D41" s="1013">
        <v>0</v>
      </c>
      <c r="E41" s="1013">
        <v>0</v>
      </c>
      <c r="F41" s="1013">
        <v>0</v>
      </c>
      <c r="G41" s="1013">
        <v>0</v>
      </c>
      <c r="I41" s="1004"/>
      <c r="J41" s="1004"/>
      <c r="K41" s="1004"/>
      <c r="L41" s="1004"/>
      <c r="M41" s="1004"/>
      <c r="T41" s="1004"/>
      <c r="U41" s="1004"/>
    </row>
    <row r="42" spans="1:21" s="1003" customFormat="1" x14ac:dyDescent="0.25">
      <c r="A42" s="1026" t="s">
        <v>727</v>
      </c>
      <c r="B42" s="432" t="s">
        <v>96</v>
      </c>
      <c r="C42" s="1013">
        <v>1843639.93</v>
      </c>
      <c r="D42" s="1013">
        <v>918350</v>
      </c>
      <c r="E42" s="1013">
        <v>774006.85000000009</v>
      </c>
      <c r="F42" s="1013">
        <v>1692356.85</v>
      </c>
      <c r="G42" s="1013">
        <v>2192070.16</v>
      </c>
      <c r="I42" s="1004"/>
      <c r="J42" s="1004"/>
      <c r="K42" s="1004"/>
      <c r="L42" s="1004"/>
      <c r="M42" s="1004"/>
      <c r="T42" s="1004"/>
      <c r="U42" s="1004"/>
    </row>
    <row r="43" spans="1:21" s="1003" customFormat="1" x14ac:dyDescent="0.25">
      <c r="A43" s="1025" t="s">
        <v>728</v>
      </c>
      <c r="B43" s="432" t="s">
        <v>96</v>
      </c>
      <c r="C43" s="1013">
        <v>30045</v>
      </c>
      <c r="D43" s="1013">
        <v>293610</v>
      </c>
      <c r="E43" s="1013">
        <v>28200</v>
      </c>
      <c r="F43" s="1013">
        <v>321810</v>
      </c>
      <c r="G43" s="1013">
        <v>289000</v>
      </c>
      <c r="I43" s="1004"/>
      <c r="J43" s="1004"/>
      <c r="K43" s="1004"/>
      <c r="L43" s="1004"/>
      <c r="M43" s="1004"/>
      <c r="T43" s="1004"/>
      <c r="U43" s="1004"/>
    </row>
    <row r="44" spans="1:21" s="1003" customFormat="1" x14ac:dyDescent="0.25">
      <c r="A44" s="1025" t="s">
        <v>729</v>
      </c>
      <c r="B44" s="432" t="s">
        <v>99</v>
      </c>
      <c r="C44" s="1013">
        <v>85466.91</v>
      </c>
      <c r="D44" s="1013">
        <v>24661</v>
      </c>
      <c r="E44" s="1013">
        <v>71320.17</v>
      </c>
      <c r="F44" s="1013">
        <v>95981.17</v>
      </c>
      <c r="G44" s="1013">
        <v>181200</v>
      </c>
      <c r="I44" s="1004"/>
      <c r="J44" s="1004"/>
      <c r="K44" s="1004"/>
      <c r="L44" s="1004"/>
      <c r="M44" s="1004"/>
      <c r="T44" s="1004"/>
      <c r="U44" s="1004"/>
    </row>
    <row r="45" spans="1:21" s="1003" customFormat="1" x14ac:dyDescent="0.25">
      <c r="A45" s="1025" t="s">
        <v>730</v>
      </c>
      <c r="B45" s="432" t="s">
        <v>137</v>
      </c>
      <c r="C45" s="1013">
        <v>11312.5</v>
      </c>
      <c r="D45" s="1013">
        <v>3565</v>
      </c>
      <c r="E45" s="1013">
        <v>6989.93</v>
      </c>
      <c r="F45" s="1013">
        <v>10554.93</v>
      </c>
      <c r="G45" s="1013">
        <v>270400</v>
      </c>
      <c r="I45" s="1004"/>
      <c r="J45" s="1004"/>
      <c r="K45" s="1004"/>
      <c r="L45" s="1004"/>
      <c r="M45" s="1004"/>
      <c r="T45" s="1004"/>
      <c r="U45" s="1004"/>
    </row>
    <row r="46" spans="1:21" s="1003" customFormat="1" x14ac:dyDescent="0.25">
      <c r="A46" s="1025" t="s">
        <v>731</v>
      </c>
      <c r="B46" s="432" t="s">
        <v>101</v>
      </c>
      <c r="C46" s="1013">
        <v>52860.04</v>
      </c>
      <c r="D46" s="1013">
        <v>17737.5</v>
      </c>
      <c r="E46" s="1013">
        <v>52133.95</v>
      </c>
      <c r="F46" s="1013">
        <v>69871.45</v>
      </c>
      <c r="G46" s="1013">
        <v>110000</v>
      </c>
      <c r="I46" s="1004"/>
      <c r="J46" s="1004"/>
      <c r="K46" s="1004"/>
      <c r="L46" s="1004"/>
      <c r="M46" s="1004"/>
      <c r="T46" s="1004"/>
      <c r="U46" s="1004"/>
    </row>
    <row r="47" spans="1:21" s="1003" customFormat="1" x14ac:dyDescent="0.25">
      <c r="A47" s="1025" t="s">
        <v>732</v>
      </c>
      <c r="B47" s="432" t="s">
        <v>106</v>
      </c>
      <c r="C47" s="1013">
        <v>0</v>
      </c>
      <c r="D47" s="1013">
        <v>0</v>
      </c>
      <c r="E47" s="1013">
        <v>0</v>
      </c>
      <c r="F47" s="1013">
        <v>0</v>
      </c>
      <c r="G47" s="1013">
        <v>25000</v>
      </c>
      <c r="I47" s="1004"/>
      <c r="J47" s="1004"/>
      <c r="K47" s="1004"/>
      <c r="L47" s="1004"/>
      <c r="M47" s="1004"/>
      <c r="T47" s="1004"/>
      <c r="U47" s="1004"/>
    </row>
    <row r="48" spans="1:21" s="1003" customFormat="1" x14ac:dyDescent="0.25">
      <c r="A48" s="1025" t="s">
        <v>733</v>
      </c>
      <c r="B48" s="432" t="s">
        <v>97</v>
      </c>
      <c r="C48" s="1013">
        <v>148843</v>
      </c>
      <c r="D48" s="1013">
        <v>48021.37</v>
      </c>
      <c r="E48" s="1013">
        <v>42992.55999999999</v>
      </c>
      <c r="F48" s="1013">
        <v>91013.93</v>
      </c>
      <c r="G48" s="1013">
        <v>100000</v>
      </c>
      <c r="I48" s="1004"/>
      <c r="J48" s="1004"/>
      <c r="K48" s="1004"/>
      <c r="L48" s="1004"/>
      <c r="M48" s="1004"/>
      <c r="T48" s="1004"/>
      <c r="U48" s="1004"/>
    </row>
    <row r="49" spans="1:21" s="1003" customFormat="1" x14ac:dyDescent="0.25">
      <c r="A49" s="1025" t="s">
        <v>734</v>
      </c>
      <c r="B49" s="432" t="s">
        <v>97</v>
      </c>
      <c r="C49" s="1013">
        <v>480425</v>
      </c>
      <c r="D49" s="1013">
        <v>6793.1</v>
      </c>
      <c r="E49" s="1013">
        <v>151568</v>
      </c>
      <c r="F49" s="1013">
        <v>158361.1</v>
      </c>
      <c r="G49" s="1013">
        <v>168000</v>
      </c>
      <c r="I49" s="1004"/>
      <c r="J49" s="1004"/>
      <c r="K49" s="1004"/>
      <c r="L49" s="1004"/>
      <c r="M49" s="1004"/>
      <c r="T49" s="1004"/>
      <c r="U49" s="1004"/>
    </row>
    <row r="50" spans="1:21" s="1003" customFormat="1" hidden="1" x14ac:dyDescent="0.25">
      <c r="A50" s="1025"/>
      <c r="B50" s="432"/>
      <c r="C50" s="1013"/>
      <c r="D50" s="1013"/>
      <c r="E50" s="1013">
        <v>0</v>
      </c>
      <c r="F50" s="1013"/>
      <c r="G50" s="1013"/>
      <c r="I50" s="1004"/>
      <c r="J50" s="1004"/>
      <c r="K50" s="1004"/>
      <c r="L50" s="1004"/>
      <c r="M50" s="1004"/>
      <c r="T50" s="1004"/>
      <c r="U50" s="1004"/>
    </row>
    <row r="51" spans="1:21" s="1003" customFormat="1" x14ac:dyDescent="0.25">
      <c r="A51" s="1027" t="s">
        <v>735</v>
      </c>
      <c r="B51" s="432" t="s">
        <v>92</v>
      </c>
      <c r="C51" s="1013">
        <v>41240</v>
      </c>
      <c r="D51" s="1013">
        <v>23006.58</v>
      </c>
      <c r="E51" s="1013">
        <v>6980</v>
      </c>
      <c r="F51" s="1013">
        <v>29986.58</v>
      </c>
      <c r="G51" s="1013">
        <v>30000</v>
      </c>
      <c r="I51" s="1004"/>
      <c r="J51" s="1004"/>
      <c r="K51" s="1004"/>
      <c r="L51" s="1004"/>
      <c r="M51" s="1004"/>
      <c r="T51" s="1004"/>
      <c r="U51" s="1004"/>
    </row>
    <row r="52" spans="1:21" s="1003" customFormat="1" x14ac:dyDescent="0.25">
      <c r="A52" s="1025" t="s">
        <v>736</v>
      </c>
      <c r="B52" s="432" t="s">
        <v>93</v>
      </c>
      <c r="C52" s="1013">
        <v>3245</v>
      </c>
      <c r="D52" s="1013">
        <v>0</v>
      </c>
      <c r="E52" s="1013">
        <v>33000</v>
      </c>
      <c r="F52" s="1013">
        <v>33000</v>
      </c>
      <c r="G52" s="1013">
        <v>30000</v>
      </c>
      <c r="I52" s="1004"/>
      <c r="J52" s="1004"/>
      <c r="K52" s="1004"/>
      <c r="L52" s="1004"/>
      <c r="M52" s="1004"/>
      <c r="T52" s="1004"/>
      <c r="U52" s="1004"/>
    </row>
    <row r="53" spans="1:21" s="1003" customFormat="1" x14ac:dyDescent="0.25">
      <c r="A53" s="630" t="s">
        <v>737</v>
      </c>
      <c r="B53" s="432" t="s">
        <v>94</v>
      </c>
      <c r="C53" s="1013">
        <v>21752.04</v>
      </c>
      <c r="D53" s="1013">
        <v>34682.03</v>
      </c>
      <c r="E53" s="1013">
        <v>14948.410000000003</v>
      </c>
      <c r="F53" s="1013">
        <v>49630.44</v>
      </c>
      <c r="G53" s="1013">
        <v>50000</v>
      </c>
      <c r="I53" s="1004"/>
      <c r="J53" s="1004"/>
      <c r="K53" s="1004"/>
      <c r="L53" s="1004"/>
      <c r="M53" s="1004"/>
      <c r="T53" s="1004"/>
      <c r="U53" s="1004"/>
    </row>
    <row r="54" spans="1:21" s="1003" customFormat="1" x14ac:dyDescent="0.25">
      <c r="A54" s="630" t="s">
        <v>738</v>
      </c>
      <c r="B54" s="432" t="s">
        <v>96</v>
      </c>
      <c r="C54" s="1013">
        <v>81798.12</v>
      </c>
      <c r="D54" s="1013">
        <v>11580</v>
      </c>
      <c r="E54" s="1013">
        <v>31720</v>
      </c>
      <c r="F54" s="1013">
        <v>43300</v>
      </c>
      <c r="G54" s="1013">
        <v>50000</v>
      </c>
      <c r="I54" s="1004"/>
      <c r="J54" s="1004"/>
      <c r="K54" s="1004"/>
      <c r="L54" s="1004"/>
      <c r="M54" s="1004"/>
      <c r="T54" s="1004"/>
      <c r="U54" s="1004"/>
    </row>
    <row r="55" spans="1:21" s="1003" customFormat="1" x14ac:dyDescent="0.25">
      <c r="A55" s="1025" t="s">
        <v>739</v>
      </c>
      <c r="B55" s="432" t="s">
        <v>102</v>
      </c>
      <c r="C55" s="1013">
        <v>32000</v>
      </c>
      <c r="D55" s="1013">
        <v>6500</v>
      </c>
      <c r="E55" s="1013">
        <v>41520</v>
      </c>
      <c r="F55" s="1013">
        <v>48020</v>
      </c>
      <c r="G55" s="1013">
        <v>50000</v>
      </c>
      <c r="I55" s="1004"/>
      <c r="J55" s="1004"/>
      <c r="K55" s="1004"/>
      <c r="L55" s="1004"/>
      <c r="M55" s="1004"/>
      <c r="T55" s="1004"/>
      <c r="U55" s="1004"/>
    </row>
    <row r="56" spans="1:21" s="1003" customFormat="1" x14ac:dyDescent="0.25">
      <c r="A56" s="630" t="s">
        <v>740</v>
      </c>
      <c r="B56" s="432" t="s">
        <v>102</v>
      </c>
      <c r="C56" s="1013">
        <v>50000</v>
      </c>
      <c r="D56" s="1013">
        <v>0</v>
      </c>
      <c r="E56" s="1013">
        <v>50000</v>
      </c>
      <c r="F56" s="1013">
        <v>50000</v>
      </c>
      <c r="G56" s="1013">
        <v>50000</v>
      </c>
      <c r="I56" s="1004"/>
      <c r="J56" s="1004"/>
      <c r="K56" s="1004"/>
      <c r="L56" s="1004"/>
      <c r="M56" s="1004"/>
      <c r="T56" s="1004"/>
      <c r="U56" s="1004"/>
    </row>
    <row r="57" spans="1:21" s="1003" customFormat="1" x14ac:dyDescent="0.25">
      <c r="A57" s="630" t="s">
        <v>741</v>
      </c>
      <c r="B57" s="432" t="s">
        <v>103</v>
      </c>
      <c r="C57" s="1013">
        <v>40000</v>
      </c>
      <c r="D57" s="1013">
        <v>0</v>
      </c>
      <c r="E57" s="1013">
        <v>40000</v>
      </c>
      <c r="F57" s="1013">
        <v>40000</v>
      </c>
      <c r="G57" s="1013">
        <v>60000</v>
      </c>
      <c r="I57" s="1004"/>
      <c r="J57" s="1004"/>
      <c r="K57" s="1004"/>
      <c r="L57" s="1004"/>
      <c r="M57" s="1004"/>
      <c r="T57" s="1004"/>
      <c r="U57" s="1004"/>
    </row>
    <row r="58" spans="1:21" s="1003" customFormat="1" x14ac:dyDescent="0.25">
      <c r="A58" s="630" t="s">
        <v>742</v>
      </c>
      <c r="B58" s="432" t="s">
        <v>103</v>
      </c>
      <c r="C58" s="1013">
        <v>25000</v>
      </c>
      <c r="D58" s="1013">
        <v>0</v>
      </c>
      <c r="E58" s="1013">
        <v>25000</v>
      </c>
      <c r="F58" s="1013">
        <v>25000</v>
      </c>
      <c r="G58" s="1013">
        <v>35000</v>
      </c>
      <c r="I58" s="1004"/>
      <c r="J58" s="1004"/>
      <c r="K58" s="1004"/>
      <c r="L58" s="1004"/>
      <c r="M58" s="1004"/>
      <c r="T58" s="1004"/>
      <c r="U58" s="1004"/>
    </row>
    <row r="59" spans="1:21" s="1003" customFormat="1" x14ac:dyDescent="0.25">
      <c r="A59" s="630" t="s">
        <v>743</v>
      </c>
      <c r="B59" s="432" t="s">
        <v>122</v>
      </c>
      <c r="C59" s="1013">
        <v>0</v>
      </c>
      <c r="D59" s="1013">
        <v>0</v>
      </c>
      <c r="E59" s="1013">
        <v>0</v>
      </c>
      <c r="F59" s="1013">
        <v>0</v>
      </c>
      <c r="G59" s="1013">
        <v>24000</v>
      </c>
      <c r="I59" s="1004"/>
      <c r="J59" s="1004"/>
      <c r="K59" s="1004"/>
      <c r="L59" s="1004"/>
      <c r="M59" s="1004"/>
      <c r="T59" s="1004"/>
      <c r="U59" s="1004"/>
    </row>
    <row r="60" spans="1:21" s="1003" customFormat="1" x14ac:dyDescent="0.25">
      <c r="A60" s="1028" t="s">
        <v>744</v>
      </c>
      <c r="B60" s="432" t="s">
        <v>128</v>
      </c>
      <c r="C60" s="1013">
        <v>118750</v>
      </c>
      <c r="D60" s="1013">
        <v>45000</v>
      </c>
      <c r="E60" s="1013">
        <v>47999</v>
      </c>
      <c r="F60" s="1013">
        <v>92999</v>
      </c>
      <c r="G60" s="1013">
        <v>100000</v>
      </c>
      <c r="I60" s="1004"/>
      <c r="J60" s="1004"/>
      <c r="K60" s="1004"/>
      <c r="L60" s="1004"/>
      <c r="M60" s="1004"/>
      <c r="T60" s="1004"/>
      <c r="U60" s="1004"/>
    </row>
    <row r="61" spans="1:21" s="1003" customFormat="1" x14ac:dyDescent="0.25">
      <c r="A61" s="630" t="s">
        <v>745</v>
      </c>
      <c r="B61" s="432" t="s">
        <v>128</v>
      </c>
      <c r="C61" s="1013">
        <v>289640</v>
      </c>
      <c r="D61" s="1013">
        <v>138000</v>
      </c>
      <c r="E61" s="1013">
        <v>138000</v>
      </c>
      <c r="F61" s="1013">
        <v>276000</v>
      </c>
      <c r="G61" s="1013">
        <v>300000</v>
      </c>
      <c r="I61" s="1004"/>
      <c r="J61" s="1004"/>
      <c r="K61" s="1004"/>
      <c r="L61" s="1004"/>
      <c r="M61" s="1004"/>
      <c r="T61" s="1004"/>
      <c r="U61" s="1004"/>
    </row>
    <row r="62" spans="1:21" s="1003" customFormat="1" x14ac:dyDescent="0.25">
      <c r="A62" s="1029" t="s">
        <v>746</v>
      </c>
      <c r="B62" s="432" t="s">
        <v>134</v>
      </c>
      <c r="C62" s="1013">
        <v>20314.599999999999</v>
      </c>
      <c r="D62" s="1013">
        <v>6607.8</v>
      </c>
      <c r="E62" s="1013">
        <v>16071.91</v>
      </c>
      <c r="F62" s="1013">
        <v>22679.71</v>
      </c>
      <c r="G62" s="1013">
        <v>35000</v>
      </c>
      <c r="I62" s="1004"/>
      <c r="J62" s="1004"/>
      <c r="K62" s="1004"/>
      <c r="L62" s="1004"/>
      <c r="M62" s="1004"/>
      <c r="T62" s="1004"/>
      <c r="U62" s="1004"/>
    </row>
    <row r="63" spans="1:21" s="1003" customFormat="1" x14ac:dyDescent="0.25">
      <c r="A63" s="1030" t="s">
        <v>747</v>
      </c>
      <c r="B63" s="432" t="s">
        <v>104</v>
      </c>
      <c r="C63" s="1013">
        <v>72869.5</v>
      </c>
      <c r="D63" s="1013">
        <v>33495</v>
      </c>
      <c r="E63" s="1013">
        <v>16505</v>
      </c>
      <c r="F63" s="1013">
        <v>50000</v>
      </c>
      <c r="G63" s="1013">
        <v>50000</v>
      </c>
      <c r="I63" s="1004"/>
      <c r="J63" s="1004"/>
      <c r="K63" s="1004"/>
      <c r="L63" s="1004"/>
      <c r="M63" s="1004"/>
      <c r="T63" s="1004"/>
      <c r="U63" s="1004"/>
    </row>
    <row r="64" spans="1:21" s="1003" customFormat="1" x14ac:dyDescent="0.25">
      <c r="A64" s="630" t="s">
        <v>748</v>
      </c>
      <c r="B64" s="432" t="s">
        <v>97</v>
      </c>
      <c r="C64" s="1013">
        <v>10000</v>
      </c>
      <c r="D64" s="1013">
        <v>0</v>
      </c>
      <c r="E64" s="1013">
        <v>40000</v>
      </c>
      <c r="F64" s="1013">
        <v>40000</v>
      </c>
      <c r="G64" s="1013">
        <v>40000</v>
      </c>
      <c r="I64" s="1004"/>
      <c r="J64" s="1004"/>
      <c r="K64" s="1004"/>
      <c r="L64" s="1004"/>
      <c r="M64" s="1004"/>
      <c r="T64" s="1004"/>
      <c r="U64" s="1004"/>
    </row>
    <row r="65" spans="1:21" s="1003" customFormat="1" x14ac:dyDescent="0.25">
      <c r="A65" s="630" t="s">
        <v>749</v>
      </c>
      <c r="B65" s="432" t="s">
        <v>97</v>
      </c>
      <c r="C65" s="1013">
        <v>122930</v>
      </c>
      <c r="D65" s="1013">
        <v>65160</v>
      </c>
      <c r="E65" s="1013">
        <v>84840</v>
      </c>
      <c r="F65" s="1013">
        <v>150000</v>
      </c>
      <c r="G65" s="1013">
        <v>82000</v>
      </c>
      <c r="I65" s="1004"/>
      <c r="J65" s="1004"/>
      <c r="K65" s="1004"/>
      <c r="L65" s="1004"/>
      <c r="M65" s="1004"/>
      <c r="T65" s="1004"/>
      <c r="U65" s="1004"/>
    </row>
    <row r="66" spans="1:21" s="1003" customFormat="1" x14ac:dyDescent="0.25">
      <c r="A66" s="630" t="s">
        <v>750</v>
      </c>
      <c r="B66" s="432" t="s">
        <v>140</v>
      </c>
      <c r="C66" s="1013">
        <v>199740</v>
      </c>
      <c r="D66" s="1013">
        <v>0</v>
      </c>
      <c r="E66" s="1013">
        <v>0</v>
      </c>
      <c r="F66" s="1013">
        <v>0</v>
      </c>
      <c r="G66" s="1013">
        <v>100000</v>
      </c>
      <c r="I66" s="1004"/>
      <c r="J66" s="1004"/>
      <c r="K66" s="1004"/>
      <c r="L66" s="1004"/>
      <c r="M66" s="1004"/>
      <c r="T66" s="1004"/>
      <c r="U66" s="1004"/>
    </row>
    <row r="67" spans="1:21" s="1003" customFormat="1" x14ac:dyDescent="0.25">
      <c r="A67" s="630" t="s">
        <v>751</v>
      </c>
      <c r="B67" s="163" t="s">
        <v>128</v>
      </c>
      <c r="C67" s="1013">
        <v>15500</v>
      </c>
      <c r="D67" s="1013">
        <v>0</v>
      </c>
      <c r="E67" s="1013">
        <v>21500</v>
      </c>
      <c r="F67" s="1013">
        <v>21500</v>
      </c>
      <c r="G67" s="1013">
        <v>30000</v>
      </c>
      <c r="I67" s="1004"/>
      <c r="J67" s="1004"/>
      <c r="K67" s="1004"/>
      <c r="L67" s="1004"/>
      <c r="M67" s="1004"/>
      <c r="T67" s="1004"/>
      <c r="U67" s="1004"/>
    </row>
    <row r="68" spans="1:21" s="1003" customFormat="1" x14ac:dyDescent="0.25">
      <c r="A68" s="630" t="s">
        <v>752</v>
      </c>
      <c r="B68" s="432"/>
      <c r="C68" s="1013">
        <v>63860</v>
      </c>
      <c r="D68" s="1013">
        <v>0</v>
      </c>
      <c r="E68" s="1013">
        <v>0</v>
      </c>
      <c r="F68" s="1013">
        <v>0</v>
      </c>
      <c r="G68" s="1013">
        <v>50000</v>
      </c>
      <c r="I68" s="1004"/>
      <c r="J68" s="1004"/>
      <c r="K68" s="1004"/>
      <c r="L68" s="1004"/>
      <c r="M68" s="1004"/>
      <c r="T68" s="1004"/>
      <c r="U68" s="1004"/>
    </row>
    <row r="69" spans="1:21" s="1003" customFormat="1" x14ac:dyDescent="0.25">
      <c r="A69" s="1031" t="s">
        <v>753</v>
      </c>
      <c r="B69" s="163" t="s">
        <v>141</v>
      </c>
      <c r="C69" s="1013">
        <v>0</v>
      </c>
      <c r="D69" s="1013">
        <v>100000</v>
      </c>
      <c r="E69" s="1013">
        <v>0</v>
      </c>
      <c r="F69" s="1013">
        <v>100000</v>
      </c>
      <c r="G69" s="1013">
        <v>100000</v>
      </c>
      <c r="I69" s="1004"/>
      <c r="J69" s="1004"/>
      <c r="K69" s="1004"/>
      <c r="L69" s="1004"/>
      <c r="M69" s="1004"/>
      <c r="T69" s="1004"/>
      <c r="U69" s="1004"/>
    </row>
    <row r="70" spans="1:21" s="1003" customFormat="1" x14ac:dyDescent="0.25">
      <c r="A70" s="1031" t="s">
        <v>754</v>
      </c>
      <c r="B70" s="432"/>
      <c r="C70" s="1013">
        <v>0</v>
      </c>
      <c r="D70" s="1013">
        <v>0</v>
      </c>
      <c r="E70" s="1013">
        <v>0</v>
      </c>
      <c r="F70" s="1013">
        <v>0</v>
      </c>
      <c r="G70" s="1013">
        <v>250000</v>
      </c>
      <c r="I70" s="1004"/>
      <c r="J70" s="1004"/>
      <c r="K70" s="1004"/>
      <c r="L70" s="1004"/>
      <c r="M70" s="1004"/>
      <c r="T70" s="1004"/>
      <c r="U70" s="1004"/>
    </row>
    <row r="71" spans="1:21" s="1003" customFormat="1" x14ac:dyDescent="0.25">
      <c r="A71" s="1031" t="s">
        <v>755</v>
      </c>
      <c r="B71" s="163"/>
      <c r="C71" s="1013">
        <v>0</v>
      </c>
      <c r="D71" s="1013">
        <v>0</v>
      </c>
      <c r="E71" s="1013">
        <v>0</v>
      </c>
      <c r="F71" s="1013">
        <v>0</v>
      </c>
      <c r="G71" s="1013">
        <v>100000</v>
      </c>
      <c r="I71" s="1004"/>
      <c r="J71" s="1004"/>
      <c r="K71" s="1004"/>
      <c r="L71" s="1004"/>
      <c r="M71" s="1004"/>
      <c r="T71" s="1004"/>
      <c r="U71" s="1004"/>
    </row>
    <row r="72" spans="1:21" s="1003" customFormat="1" x14ac:dyDescent="0.25">
      <c r="A72" s="1031" t="s">
        <v>756</v>
      </c>
      <c r="B72" s="163" t="s">
        <v>158</v>
      </c>
      <c r="C72" s="1013">
        <v>14850</v>
      </c>
      <c r="D72" s="1013">
        <v>0</v>
      </c>
      <c r="E72" s="1013">
        <v>0</v>
      </c>
      <c r="F72" s="1013">
        <v>0</v>
      </c>
      <c r="G72" s="1013">
        <v>52000</v>
      </c>
      <c r="I72" s="1004"/>
      <c r="J72" s="1004"/>
      <c r="K72" s="1004"/>
      <c r="L72" s="1004"/>
      <c r="M72" s="1004"/>
      <c r="T72" s="1004"/>
      <c r="U72" s="1004"/>
    </row>
    <row r="73" spans="1:21" s="1003" customFormat="1" x14ac:dyDescent="0.25">
      <c r="A73" s="1031" t="s">
        <v>757</v>
      </c>
      <c r="B73" s="163" t="s">
        <v>316</v>
      </c>
      <c r="C73" s="1013">
        <v>0</v>
      </c>
      <c r="D73" s="1013">
        <v>0</v>
      </c>
      <c r="E73" s="1013">
        <v>0</v>
      </c>
      <c r="F73" s="1013">
        <v>0</v>
      </c>
      <c r="G73" s="1013">
        <v>100000</v>
      </c>
      <c r="I73" s="1004"/>
      <c r="J73" s="1004"/>
      <c r="K73" s="1004"/>
      <c r="L73" s="1004"/>
      <c r="M73" s="1004"/>
      <c r="T73" s="1004"/>
      <c r="U73" s="1004"/>
    </row>
    <row r="74" spans="1:21" s="1003" customFormat="1" x14ac:dyDescent="0.25">
      <c r="A74" s="1031" t="s">
        <v>758</v>
      </c>
      <c r="B74" s="432" t="s">
        <v>128</v>
      </c>
      <c r="C74" s="1013">
        <v>826980</v>
      </c>
      <c r="D74" s="1013">
        <v>0</v>
      </c>
      <c r="E74" s="1013">
        <v>0</v>
      </c>
      <c r="F74" s="1013">
        <v>0</v>
      </c>
      <c r="G74" s="1013">
        <v>0</v>
      </c>
      <c r="I74" s="1004"/>
      <c r="J74" s="1004"/>
      <c r="K74" s="1004"/>
      <c r="L74" s="1004"/>
      <c r="M74" s="1004"/>
      <c r="T74" s="1004"/>
      <c r="U74" s="1004"/>
    </row>
    <row r="75" spans="1:21" s="1003" customFormat="1" x14ac:dyDescent="0.25">
      <c r="A75" s="1031" t="s">
        <v>759</v>
      </c>
      <c r="B75" s="432" t="s">
        <v>128</v>
      </c>
      <c r="C75" s="1013">
        <v>148900</v>
      </c>
      <c r="D75" s="1013">
        <v>0</v>
      </c>
      <c r="E75" s="1013">
        <v>0</v>
      </c>
      <c r="F75" s="1013">
        <v>0</v>
      </c>
      <c r="G75" s="1013">
        <v>0</v>
      </c>
      <c r="I75" s="1004"/>
      <c r="J75" s="1004"/>
      <c r="K75" s="1004"/>
      <c r="L75" s="1004"/>
      <c r="M75" s="1004"/>
      <c r="T75" s="1004"/>
      <c r="U75" s="1004"/>
    </row>
    <row r="76" spans="1:21" s="1003" customFormat="1" x14ac:dyDescent="0.25">
      <c r="A76" s="1031" t="s">
        <v>760</v>
      </c>
      <c r="B76" s="432" t="s">
        <v>284</v>
      </c>
      <c r="C76" s="1013">
        <v>191280</v>
      </c>
      <c r="D76" s="1013">
        <v>0</v>
      </c>
      <c r="E76" s="1013">
        <v>0</v>
      </c>
      <c r="F76" s="1013">
        <v>0</v>
      </c>
      <c r="G76" s="1013">
        <v>0</v>
      </c>
      <c r="I76" s="1004"/>
      <c r="J76" s="1004"/>
      <c r="K76" s="1004"/>
      <c r="L76" s="1004"/>
      <c r="M76" s="1004"/>
      <c r="T76" s="1004"/>
      <c r="U76" s="1004"/>
    </row>
    <row r="77" spans="1:21" s="1003" customFormat="1" hidden="1" x14ac:dyDescent="0.25">
      <c r="A77" s="1032"/>
      <c r="B77" s="432"/>
      <c r="C77" s="1013"/>
      <c r="D77" s="1013"/>
      <c r="E77" s="1013">
        <v>0</v>
      </c>
      <c r="F77" s="1013"/>
      <c r="G77" s="1013"/>
      <c r="I77" s="1004"/>
      <c r="J77" s="1004"/>
      <c r="K77" s="1004"/>
      <c r="L77" s="1004"/>
      <c r="M77" s="1004"/>
      <c r="T77" s="1004"/>
      <c r="U77" s="1004"/>
    </row>
    <row r="78" spans="1:21" s="1003" customFormat="1" hidden="1" x14ac:dyDescent="0.25">
      <c r="A78" s="1031"/>
      <c r="B78" s="432"/>
      <c r="C78" s="1013"/>
      <c r="D78" s="1013"/>
      <c r="E78" s="1013">
        <v>0</v>
      </c>
      <c r="F78" s="1013"/>
      <c r="G78" s="1013"/>
      <c r="I78" s="1004"/>
      <c r="J78" s="1004"/>
      <c r="K78" s="1004"/>
      <c r="L78" s="1004"/>
      <c r="M78" s="1004"/>
      <c r="T78" s="1004"/>
      <c r="U78" s="1004"/>
    </row>
    <row r="79" spans="1:21" s="1003" customFormat="1" hidden="1" x14ac:dyDescent="0.25">
      <c r="A79" s="1031"/>
      <c r="B79" s="432"/>
      <c r="C79" s="1013"/>
      <c r="D79" s="1013"/>
      <c r="E79" s="1013">
        <v>0</v>
      </c>
      <c r="F79" s="1013"/>
      <c r="G79" s="1013"/>
      <c r="I79" s="1004"/>
      <c r="J79" s="1004"/>
      <c r="K79" s="1004"/>
      <c r="L79" s="1004"/>
      <c r="M79" s="1004"/>
      <c r="T79" s="1004"/>
      <c r="U79" s="1004"/>
    </row>
    <row r="80" spans="1:21" s="1003" customFormat="1" hidden="1" x14ac:dyDescent="0.25">
      <c r="A80" s="1031"/>
      <c r="B80" s="432"/>
      <c r="C80" s="1013"/>
      <c r="D80" s="1013"/>
      <c r="E80" s="1013">
        <v>0</v>
      </c>
      <c r="F80" s="1013"/>
      <c r="G80" s="1013"/>
      <c r="I80" s="1004"/>
      <c r="J80" s="1004"/>
      <c r="K80" s="1004"/>
      <c r="L80" s="1004"/>
      <c r="M80" s="1004"/>
      <c r="T80" s="1004"/>
      <c r="U80" s="1004"/>
    </row>
    <row r="81" spans="1:21" s="1003" customFormat="1" x14ac:dyDescent="0.25">
      <c r="A81" s="1031" t="s">
        <v>761</v>
      </c>
      <c r="B81" s="163" t="s">
        <v>96</v>
      </c>
      <c r="C81" s="1013">
        <v>47800</v>
      </c>
      <c r="D81" s="1013">
        <v>19130</v>
      </c>
      <c r="E81" s="1013">
        <v>27060</v>
      </c>
      <c r="F81" s="1013">
        <v>46190</v>
      </c>
      <c r="G81" s="1013">
        <v>50000</v>
      </c>
      <c r="I81" s="1004"/>
      <c r="J81" s="1004"/>
      <c r="K81" s="1004"/>
      <c r="L81" s="1004"/>
      <c r="M81" s="1004"/>
      <c r="T81" s="1004"/>
      <c r="U81" s="1004"/>
    </row>
    <row r="82" spans="1:21" s="1003" customFormat="1" x14ac:dyDescent="0.25">
      <c r="A82" s="1031" t="s">
        <v>762</v>
      </c>
      <c r="B82" s="163" t="s">
        <v>96</v>
      </c>
      <c r="C82" s="1013">
        <v>269390</v>
      </c>
      <c r="D82" s="1013">
        <v>0</v>
      </c>
      <c r="E82" s="1013">
        <v>0</v>
      </c>
      <c r="F82" s="1013">
        <v>0</v>
      </c>
      <c r="G82" s="1013">
        <v>0</v>
      </c>
      <c r="I82" s="1004"/>
      <c r="J82" s="1004"/>
      <c r="K82" s="1004"/>
      <c r="L82" s="1004"/>
      <c r="M82" s="1004"/>
      <c r="T82" s="1004"/>
      <c r="U82" s="1004"/>
    </row>
    <row r="83" spans="1:21" s="1003" customFormat="1" x14ac:dyDescent="0.25">
      <c r="A83" s="1031" t="s">
        <v>763</v>
      </c>
      <c r="B83" s="163" t="s">
        <v>137</v>
      </c>
      <c r="C83" s="1013">
        <v>566530</v>
      </c>
      <c r="D83" s="1013">
        <v>303500</v>
      </c>
      <c r="E83" s="1013">
        <v>381110</v>
      </c>
      <c r="F83" s="1013">
        <v>684610</v>
      </c>
      <c r="G83" s="1013">
        <v>685000</v>
      </c>
      <c r="I83" s="1004"/>
      <c r="J83" s="1004"/>
      <c r="K83" s="1004"/>
      <c r="L83" s="1004"/>
      <c r="M83" s="1004"/>
      <c r="T83" s="1004"/>
      <c r="U83" s="1004"/>
    </row>
    <row r="84" spans="1:21" s="1003" customFormat="1" x14ac:dyDescent="0.25">
      <c r="A84" s="1031" t="s">
        <v>764</v>
      </c>
      <c r="B84" s="163" t="s">
        <v>284</v>
      </c>
      <c r="C84" s="1013">
        <v>100800</v>
      </c>
      <c r="D84" s="1013">
        <v>46200</v>
      </c>
      <c r="E84" s="1013">
        <v>54600</v>
      </c>
      <c r="F84" s="1013">
        <v>100800</v>
      </c>
      <c r="G84" s="1013">
        <v>100800</v>
      </c>
      <c r="I84" s="1004"/>
      <c r="J84" s="1004"/>
      <c r="K84" s="1004"/>
      <c r="L84" s="1004"/>
      <c r="M84" s="1004"/>
      <c r="T84" s="1004"/>
      <c r="U84" s="1004"/>
    </row>
    <row r="85" spans="1:21" s="1003" customFormat="1" x14ac:dyDescent="0.25">
      <c r="A85" s="1031" t="s">
        <v>765</v>
      </c>
      <c r="B85" s="163" t="s">
        <v>284</v>
      </c>
      <c r="C85" s="1013">
        <v>72000</v>
      </c>
      <c r="D85" s="1013">
        <v>37800</v>
      </c>
      <c r="E85" s="1013">
        <v>37800</v>
      </c>
      <c r="F85" s="1013">
        <v>75600</v>
      </c>
      <c r="G85" s="1013">
        <v>75600</v>
      </c>
      <c r="I85" s="1004"/>
      <c r="J85" s="1004"/>
      <c r="K85" s="1004"/>
      <c r="L85" s="1004"/>
      <c r="M85" s="1004"/>
      <c r="T85" s="1004"/>
      <c r="U85" s="1004"/>
    </row>
    <row r="86" spans="1:21" s="1003" customFormat="1" x14ac:dyDescent="0.25">
      <c r="A86" s="1031" t="s">
        <v>766</v>
      </c>
      <c r="B86" s="432"/>
      <c r="C86" s="1013">
        <v>0</v>
      </c>
      <c r="D86" s="1013">
        <v>0</v>
      </c>
      <c r="E86" s="1013">
        <v>0</v>
      </c>
      <c r="F86" s="1013">
        <v>0</v>
      </c>
      <c r="G86" s="1013">
        <v>15000</v>
      </c>
      <c r="I86" s="1004"/>
      <c r="J86" s="1004"/>
      <c r="K86" s="1004"/>
      <c r="L86" s="1004"/>
      <c r="M86" s="1004"/>
      <c r="T86" s="1004"/>
      <c r="U86" s="1004"/>
    </row>
    <row r="87" spans="1:21" s="1003" customFormat="1" x14ac:dyDescent="0.25">
      <c r="A87" s="1031" t="s">
        <v>767</v>
      </c>
      <c r="B87" s="432"/>
      <c r="C87" s="1013">
        <v>0</v>
      </c>
      <c r="D87" s="1013">
        <v>0</v>
      </c>
      <c r="E87" s="1013">
        <v>0</v>
      </c>
      <c r="F87" s="1013">
        <v>0</v>
      </c>
      <c r="G87" s="1013">
        <v>15000</v>
      </c>
      <c r="I87" s="1004"/>
      <c r="J87" s="1004"/>
      <c r="K87" s="1004"/>
      <c r="L87" s="1004"/>
      <c r="M87" s="1004"/>
      <c r="T87" s="1004"/>
      <c r="U87" s="1004"/>
    </row>
    <row r="88" spans="1:21" s="1003" customFormat="1" x14ac:dyDescent="0.25">
      <c r="A88" s="1031" t="s">
        <v>768</v>
      </c>
      <c r="B88" s="432" t="s">
        <v>122</v>
      </c>
      <c r="C88" s="1013">
        <v>610</v>
      </c>
      <c r="D88" s="1013">
        <v>35209.360000000001</v>
      </c>
      <c r="E88" s="1013">
        <v>13300</v>
      </c>
      <c r="F88" s="1013">
        <v>48509.36</v>
      </c>
      <c r="G88" s="1013">
        <v>55000</v>
      </c>
      <c r="I88" s="1004"/>
      <c r="J88" s="1004"/>
      <c r="K88" s="1004"/>
      <c r="L88" s="1004"/>
      <c r="M88" s="1004"/>
      <c r="T88" s="1004"/>
      <c r="U88" s="1004"/>
    </row>
    <row r="89" spans="1:21" s="1003" customFormat="1" x14ac:dyDescent="0.25">
      <c r="A89" s="1031" t="s">
        <v>769</v>
      </c>
      <c r="B89" s="432" t="s">
        <v>99</v>
      </c>
      <c r="C89" s="1013">
        <v>24483.5</v>
      </c>
      <c r="D89" s="1013">
        <v>0</v>
      </c>
      <c r="E89" s="1013">
        <v>0</v>
      </c>
      <c r="F89" s="1013">
        <v>0</v>
      </c>
      <c r="G89" s="1013">
        <v>0</v>
      </c>
      <c r="I89" s="1004"/>
      <c r="J89" s="1004"/>
      <c r="K89" s="1004"/>
      <c r="L89" s="1004"/>
      <c r="M89" s="1004"/>
      <c r="T89" s="1004"/>
      <c r="U89" s="1004"/>
    </row>
    <row r="90" spans="1:21" s="1003" customFormat="1" x14ac:dyDescent="0.25">
      <c r="A90" s="1031" t="s">
        <v>770</v>
      </c>
      <c r="B90" s="432" t="s">
        <v>98</v>
      </c>
      <c r="C90" s="1013">
        <v>674654.71999999997</v>
      </c>
      <c r="D90" s="1013">
        <v>181196.36000000002</v>
      </c>
      <c r="E90" s="1013">
        <v>465677.86</v>
      </c>
      <c r="F90" s="1013">
        <v>646874.22</v>
      </c>
      <c r="G90" s="1013">
        <v>767400</v>
      </c>
      <c r="I90" s="1004"/>
      <c r="J90" s="1004"/>
      <c r="K90" s="1004"/>
      <c r="L90" s="1004"/>
      <c r="M90" s="1004"/>
      <c r="T90" s="1004"/>
      <c r="U90" s="1004"/>
    </row>
    <row r="91" spans="1:21" s="1003" customFormat="1" x14ac:dyDescent="0.25">
      <c r="A91" s="1031" t="s">
        <v>771</v>
      </c>
      <c r="B91" s="432" t="s">
        <v>137</v>
      </c>
      <c r="C91" s="1013">
        <v>292706</v>
      </c>
      <c r="D91" s="1013">
        <v>251589</v>
      </c>
      <c r="E91" s="1013">
        <v>45430</v>
      </c>
      <c r="F91" s="1013">
        <v>297019</v>
      </c>
      <c r="G91" s="1013">
        <v>300000</v>
      </c>
      <c r="I91" s="1004"/>
      <c r="J91" s="1004"/>
      <c r="K91" s="1004"/>
      <c r="L91" s="1004"/>
      <c r="M91" s="1004"/>
      <c r="T91" s="1004"/>
      <c r="U91" s="1004"/>
    </row>
    <row r="92" spans="1:21" s="1003" customFormat="1" x14ac:dyDescent="0.25">
      <c r="A92" s="1031" t="s">
        <v>772</v>
      </c>
      <c r="B92" s="432" t="s">
        <v>137</v>
      </c>
      <c r="C92" s="1013">
        <v>349855.35</v>
      </c>
      <c r="D92" s="1013">
        <v>38500</v>
      </c>
      <c r="E92" s="1013">
        <v>388285</v>
      </c>
      <c r="F92" s="1013">
        <v>426785</v>
      </c>
      <c r="G92" s="1013">
        <v>450000</v>
      </c>
      <c r="I92" s="1004"/>
      <c r="J92" s="1004"/>
      <c r="K92" s="1004"/>
      <c r="L92" s="1004"/>
      <c r="M92" s="1004"/>
      <c r="T92" s="1004"/>
      <c r="U92" s="1004"/>
    </row>
    <row r="93" spans="1:21" s="1003" customFormat="1" x14ac:dyDescent="0.25">
      <c r="A93" s="1031" t="s">
        <v>773</v>
      </c>
      <c r="B93" s="432" t="s">
        <v>171</v>
      </c>
      <c r="C93" s="1013">
        <v>38345</v>
      </c>
      <c r="D93" s="1013">
        <v>26356.69</v>
      </c>
      <c r="E93" s="1013">
        <v>11945.000000000004</v>
      </c>
      <c r="F93" s="1013">
        <v>38301.69</v>
      </c>
      <c r="G93" s="1013">
        <v>40000</v>
      </c>
      <c r="I93" s="1004"/>
      <c r="J93" s="1004"/>
      <c r="K93" s="1004"/>
      <c r="L93" s="1004"/>
      <c r="M93" s="1004"/>
      <c r="T93" s="1004"/>
      <c r="U93" s="1004"/>
    </row>
    <row r="94" spans="1:21" s="1003" customFormat="1" x14ac:dyDescent="0.25">
      <c r="A94" s="1031" t="s">
        <v>774</v>
      </c>
      <c r="B94" s="432" t="s">
        <v>171</v>
      </c>
      <c r="C94" s="1013">
        <v>24000</v>
      </c>
      <c r="D94" s="1013">
        <v>6000</v>
      </c>
      <c r="E94" s="1013">
        <v>18000</v>
      </c>
      <c r="F94" s="1013">
        <v>24000</v>
      </c>
      <c r="G94" s="1013">
        <v>24000</v>
      </c>
      <c r="I94" s="1004"/>
      <c r="J94" s="1004"/>
      <c r="K94" s="1004"/>
      <c r="L94" s="1004"/>
      <c r="M94" s="1004"/>
      <c r="T94" s="1004"/>
      <c r="U94" s="1004"/>
    </row>
    <row r="95" spans="1:21" s="1003" customFormat="1" ht="12" hidden="1" customHeight="1" x14ac:dyDescent="0.25">
      <c r="A95" s="1031" t="s">
        <v>775</v>
      </c>
      <c r="B95" s="432"/>
      <c r="C95" s="1013">
        <v>0</v>
      </c>
      <c r="D95" s="1013">
        <v>0</v>
      </c>
      <c r="E95" s="1013">
        <v>0</v>
      </c>
      <c r="F95" s="1013">
        <v>0</v>
      </c>
      <c r="G95" s="1013">
        <v>0</v>
      </c>
      <c r="I95" s="1004"/>
      <c r="J95" s="1004"/>
      <c r="K95" s="1004"/>
      <c r="L95" s="1004"/>
      <c r="M95" s="1004"/>
      <c r="T95" s="1004"/>
      <c r="U95" s="1004"/>
    </row>
    <row r="96" spans="1:21" s="1003" customFormat="1" ht="28.5" customHeight="1" x14ac:dyDescent="0.25">
      <c r="A96" s="1031" t="s">
        <v>776</v>
      </c>
      <c r="B96" s="432" t="s">
        <v>284</v>
      </c>
      <c r="C96" s="1013">
        <v>47674.99</v>
      </c>
      <c r="D96" s="1013">
        <v>5200</v>
      </c>
      <c r="E96" s="1013">
        <v>3060</v>
      </c>
      <c r="F96" s="1013">
        <v>8260</v>
      </c>
      <c r="G96" s="1013">
        <v>25000</v>
      </c>
      <c r="I96" s="1004"/>
      <c r="J96" s="1004"/>
      <c r="K96" s="1004"/>
      <c r="L96" s="1004"/>
      <c r="M96" s="1004"/>
      <c r="T96" s="1004"/>
      <c r="U96" s="1004"/>
    </row>
    <row r="97" spans="1:21" s="1003" customFormat="1" x14ac:dyDescent="0.25">
      <c r="A97" s="1031" t="s">
        <v>777</v>
      </c>
      <c r="B97" s="432" t="s">
        <v>142</v>
      </c>
      <c r="C97" s="1013">
        <v>0</v>
      </c>
      <c r="D97" s="1013">
        <v>0</v>
      </c>
      <c r="E97" s="1013">
        <v>0</v>
      </c>
      <c r="F97" s="1013">
        <v>0</v>
      </c>
      <c r="G97" s="1013">
        <v>1000</v>
      </c>
      <c r="I97" s="1004"/>
      <c r="J97" s="1004"/>
      <c r="K97" s="1004"/>
      <c r="L97" s="1004"/>
      <c r="M97" s="1004"/>
      <c r="T97" s="1004"/>
      <c r="U97" s="1004"/>
    </row>
    <row r="98" spans="1:21" s="1003" customFormat="1" ht="13.5" customHeight="1" x14ac:dyDescent="0.25">
      <c r="A98" s="1031" t="s">
        <v>778</v>
      </c>
      <c r="B98" s="432" t="s">
        <v>284</v>
      </c>
      <c r="C98" s="1013">
        <v>0</v>
      </c>
      <c r="D98" s="1013">
        <v>0</v>
      </c>
      <c r="E98" s="1013">
        <v>0</v>
      </c>
      <c r="F98" s="1013">
        <v>0</v>
      </c>
      <c r="G98" s="1013">
        <v>8000</v>
      </c>
      <c r="I98" s="1004"/>
      <c r="J98" s="1004"/>
      <c r="K98" s="1004"/>
      <c r="L98" s="1004"/>
      <c r="M98" s="1004"/>
      <c r="T98" s="1004"/>
      <c r="U98" s="1004"/>
    </row>
    <row r="99" spans="1:21" s="1003" customFormat="1" x14ac:dyDescent="0.25">
      <c r="A99" s="1031" t="s">
        <v>779</v>
      </c>
      <c r="B99" s="432" t="s">
        <v>103</v>
      </c>
      <c r="C99" s="1013">
        <v>25000</v>
      </c>
      <c r="D99" s="1013">
        <v>0</v>
      </c>
      <c r="E99" s="1013">
        <v>0</v>
      </c>
      <c r="F99" s="1013">
        <v>0</v>
      </c>
      <c r="G99" s="1013">
        <v>54000</v>
      </c>
      <c r="I99" s="1004"/>
      <c r="J99" s="1004"/>
      <c r="K99" s="1004"/>
      <c r="L99" s="1004"/>
      <c r="M99" s="1004"/>
      <c r="T99" s="1004"/>
      <c r="U99" s="1004"/>
    </row>
    <row r="100" spans="1:21" s="1003" customFormat="1" ht="15" customHeight="1" x14ac:dyDescent="0.25">
      <c r="A100" s="1031" t="s">
        <v>205</v>
      </c>
      <c r="B100" s="432"/>
      <c r="C100" s="1013">
        <v>0</v>
      </c>
      <c r="D100" s="1013">
        <v>0</v>
      </c>
      <c r="E100" s="1013">
        <v>0</v>
      </c>
      <c r="F100" s="1013">
        <v>0</v>
      </c>
      <c r="G100" s="1013">
        <v>0</v>
      </c>
      <c r="I100" s="1004"/>
      <c r="J100" s="1004"/>
      <c r="K100" s="1004"/>
      <c r="L100" s="1004"/>
      <c r="M100" s="1004"/>
      <c r="T100" s="1004"/>
      <c r="U100" s="1004"/>
    </row>
    <row r="101" spans="1:21" s="1003" customFormat="1" ht="14.25" customHeight="1" x14ac:dyDescent="0.25">
      <c r="A101" s="1031" t="s">
        <v>780</v>
      </c>
      <c r="B101" s="432" t="s">
        <v>92</v>
      </c>
      <c r="C101" s="1013">
        <v>42775</v>
      </c>
      <c r="D101" s="1013">
        <v>0</v>
      </c>
      <c r="E101" s="1013">
        <v>0</v>
      </c>
      <c r="F101" s="1013">
        <v>0</v>
      </c>
      <c r="G101" s="1013">
        <v>0</v>
      </c>
      <c r="I101" s="1004"/>
      <c r="J101" s="1004"/>
      <c r="K101" s="1004"/>
      <c r="L101" s="1004"/>
      <c r="M101" s="1004"/>
      <c r="T101" s="1004"/>
      <c r="U101" s="1004"/>
    </row>
    <row r="102" spans="1:21" s="1003" customFormat="1" x14ac:dyDescent="0.25">
      <c r="A102" s="1031" t="s">
        <v>781</v>
      </c>
      <c r="B102" s="432" t="s">
        <v>92</v>
      </c>
      <c r="C102" s="1013">
        <v>2920</v>
      </c>
      <c r="D102" s="1013">
        <v>0</v>
      </c>
      <c r="E102" s="1013">
        <v>0</v>
      </c>
      <c r="F102" s="1013">
        <v>0</v>
      </c>
      <c r="G102" s="1013">
        <v>0</v>
      </c>
      <c r="I102" s="1004"/>
      <c r="J102" s="1004"/>
      <c r="K102" s="1004"/>
      <c r="L102" s="1004"/>
      <c r="M102" s="1004"/>
      <c r="T102" s="1004"/>
      <c r="U102" s="1004"/>
    </row>
    <row r="103" spans="1:21" s="1003" customFormat="1" x14ac:dyDescent="0.25">
      <c r="A103" s="1031" t="s">
        <v>188</v>
      </c>
      <c r="B103" s="432"/>
      <c r="C103" s="1013">
        <v>180753.16</v>
      </c>
      <c r="D103" s="1013">
        <v>0</v>
      </c>
      <c r="E103" s="1013">
        <v>0</v>
      </c>
      <c r="F103" s="1013">
        <v>0</v>
      </c>
      <c r="G103" s="1013">
        <v>0</v>
      </c>
      <c r="I103" s="1004"/>
      <c r="J103" s="1004"/>
      <c r="K103" s="1004"/>
      <c r="L103" s="1004"/>
      <c r="M103" s="1004"/>
      <c r="T103" s="1004"/>
      <c r="U103" s="1004"/>
    </row>
    <row r="104" spans="1:21" s="1003" customFormat="1" x14ac:dyDescent="0.25">
      <c r="A104" s="1031" t="s">
        <v>782</v>
      </c>
      <c r="B104" s="432"/>
      <c r="C104" s="1013">
        <v>43356.08</v>
      </c>
      <c r="D104" s="1013">
        <v>0</v>
      </c>
      <c r="E104" s="1013">
        <v>0</v>
      </c>
      <c r="F104" s="1013">
        <v>0</v>
      </c>
      <c r="G104" s="1013">
        <v>0</v>
      </c>
      <c r="I104" s="1004"/>
      <c r="J104" s="1004"/>
      <c r="K104" s="1004"/>
      <c r="L104" s="1004"/>
      <c r="M104" s="1004"/>
      <c r="T104" s="1004"/>
      <c r="U104" s="1004"/>
    </row>
    <row r="105" spans="1:21" s="1003" customFormat="1" x14ac:dyDescent="0.25">
      <c r="A105" s="1031" t="s">
        <v>783</v>
      </c>
      <c r="B105" s="432" t="s">
        <v>93</v>
      </c>
      <c r="C105" s="1013">
        <v>39567.85</v>
      </c>
      <c r="D105" s="1013">
        <v>0</v>
      </c>
      <c r="E105" s="1013">
        <v>0</v>
      </c>
      <c r="F105" s="1013">
        <v>0</v>
      </c>
      <c r="G105" s="1013">
        <v>0</v>
      </c>
      <c r="I105" s="1004"/>
      <c r="J105" s="1004"/>
      <c r="K105" s="1004"/>
      <c r="L105" s="1004"/>
      <c r="M105" s="1004"/>
      <c r="T105" s="1004"/>
      <c r="U105" s="1004"/>
    </row>
    <row r="106" spans="1:21" s="1003" customFormat="1" ht="13.5" customHeight="1" x14ac:dyDescent="0.25">
      <c r="A106" s="1031" t="s">
        <v>784</v>
      </c>
      <c r="B106" s="432" t="s">
        <v>110</v>
      </c>
      <c r="C106" s="1013">
        <v>24483.5</v>
      </c>
      <c r="D106" s="1013">
        <v>0</v>
      </c>
      <c r="E106" s="1013">
        <v>0</v>
      </c>
      <c r="F106" s="1013">
        <v>0</v>
      </c>
      <c r="G106" s="1013">
        <v>0</v>
      </c>
      <c r="I106" s="1004"/>
      <c r="J106" s="1004"/>
      <c r="K106" s="1004"/>
      <c r="L106" s="1004"/>
      <c r="M106" s="1004"/>
      <c r="T106" s="1004"/>
      <c r="U106" s="1004"/>
    </row>
    <row r="107" spans="1:21" s="1003" customFormat="1" ht="12" customHeight="1" x14ac:dyDescent="0.25">
      <c r="A107" s="1031" t="s">
        <v>785</v>
      </c>
      <c r="B107" s="432" t="s">
        <v>309</v>
      </c>
      <c r="C107" s="1013">
        <v>389292.79999999999</v>
      </c>
      <c r="D107" s="1013">
        <v>0</v>
      </c>
      <c r="E107" s="1013">
        <v>0</v>
      </c>
      <c r="F107" s="1013">
        <v>0</v>
      </c>
      <c r="G107" s="1013">
        <v>0</v>
      </c>
      <c r="I107" s="1004"/>
      <c r="J107" s="1004"/>
      <c r="K107" s="1004"/>
      <c r="L107" s="1004"/>
      <c r="M107" s="1004"/>
      <c r="T107" s="1004"/>
      <c r="U107" s="1004"/>
    </row>
    <row r="108" spans="1:21" s="1003" customFormat="1" x14ac:dyDescent="0.25">
      <c r="A108" s="1031" t="s">
        <v>786</v>
      </c>
      <c r="B108" s="432" t="s">
        <v>92</v>
      </c>
      <c r="C108" s="1013">
        <v>2920</v>
      </c>
      <c r="D108" s="1013">
        <v>0</v>
      </c>
      <c r="E108" s="1013">
        <v>0</v>
      </c>
      <c r="F108" s="1013">
        <v>0</v>
      </c>
      <c r="G108" s="1013">
        <v>0</v>
      </c>
      <c r="I108" s="1004"/>
      <c r="J108" s="1004"/>
      <c r="K108" s="1004"/>
      <c r="L108" s="1004"/>
      <c r="M108" s="1004"/>
      <c r="T108" s="1004"/>
      <c r="U108" s="1004"/>
    </row>
    <row r="109" spans="1:21" s="1003" customFormat="1" x14ac:dyDescent="0.25">
      <c r="A109" s="1031" t="s">
        <v>787</v>
      </c>
      <c r="B109" s="432" t="s">
        <v>93</v>
      </c>
      <c r="C109" s="1013">
        <v>106800</v>
      </c>
      <c r="D109" s="1013">
        <v>0</v>
      </c>
      <c r="E109" s="1013">
        <v>0</v>
      </c>
      <c r="F109" s="1013">
        <v>0</v>
      </c>
      <c r="G109" s="1013">
        <v>0</v>
      </c>
      <c r="I109" s="1004"/>
      <c r="J109" s="1004"/>
      <c r="K109" s="1004"/>
      <c r="L109" s="1004"/>
      <c r="M109" s="1004"/>
      <c r="T109" s="1004"/>
      <c r="U109" s="1004"/>
    </row>
    <row r="110" spans="1:21" s="1003" customFormat="1" x14ac:dyDescent="0.25">
      <c r="A110" s="1031" t="s">
        <v>788</v>
      </c>
      <c r="B110" s="432" t="s">
        <v>93</v>
      </c>
      <c r="C110" s="1013">
        <v>15000</v>
      </c>
      <c r="D110" s="1013">
        <v>0</v>
      </c>
      <c r="E110" s="1013">
        <v>0</v>
      </c>
      <c r="F110" s="1013">
        <v>0</v>
      </c>
      <c r="G110" s="1013">
        <v>0</v>
      </c>
      <c r="I110" s="1004"/>
      <c r="J110" s="1004"/>
      <c r="K110" s="1004"/>
      <c r="L110" s="1004"/>
      <c r="M110" s="1004"/>
      <c r="T110" s="1004"/>
      <c r="U110" s="1004"/>
    </row>
    <row r="111" spans="1:21" s="1003" customFormat="1" ht="16.5" hidden="1" customHeight="1" x14ac:dyDescent="0.25">
      <c r="A111" s="1031" t="s">
        <v>789</v>
      </c>
      <c r="B111" s="432" t="s">
        <v>94</v>
      </c>
      <c r="C111" s="1013">
        <v>0</v>
      </c>
      <c r="D111" s="1013">
        <v>0</v>
      </c>
      <c r="E111" s="1013">
        <v>0</v>
      </c>
      <c r="F111" s="1013">
        <v>0</v>
      </c>
      <c r="G111" s="1013">
        <v>0</v>
      </c>
      <c r="I111" s="1004"/>
      <c r="J111" s="1004"/>
      <c r="K111" s="1004"/>
      <c r="L111" s="1004"/>
      <c r="M111" s="1004"/>
      <c r="T111" s="1004"/>
      <c r="U111" s="1004"/>
    </row>
    <row r="112" spans="1:21" s="1003" customFormat="1" ht="16.5" hidden="1" customHeight="1" x14ac:dyDescent="0.25">
      <c r="A112" s="1031" t="s">
        <v>790</v>
      </c>
      <c r="B112" s="432" t="s">
        <v>94</v>
      </c>
      <c r="C112" s="1013">
        <v>0</v>
      </c>
      <c r="D112" s="1013">
        <v>0</v>
      </c>
      <c r="E112" s="1013">
        <v>0</v>
      </c>
      <c r="F112" s="1013">
        <v>0</v>
      </c>
      <c r="G112" s="1013">
        <v>0</v>
      </c>
      <c r="I112" s="1004"/>
      <c r="J112" s="1004"/>
      <c r="K112" s="1004"/>
      <c r="L112" s="1004"/>
      <c r="M112" s="1004"/>
      <c r="T112" s="1004"/>
      <c r="U112" s="1004"/>
    </row>
    <row r="113" spans="1:21" s="1003" customFormat="1" hidden="1" x14ac:dyDescent="0.25">
      <c r="A113" s="1031"/>
      <c r="B113" s="432"/>
      <c r="C113" s="1013">
        <v>0</v>
      </c>
      <c r="D113" s="1013">
        <v>0</v>
      </c>
      <c r="E113" s="1013">
        <v>0</v>
      </c>
      <c r="F113" s="1013">
        <v>0</v>
      </c>
      <c r="G113" s="1013">
        <v>0</v>
      </c>
      <c r="I113" s="1004"/>
      <c r="J113" s="1004"/>
      <c r="K113" s="1004"/>
      <c r="L113" s="1004"/>
      <c r="M113" s="1004"/>
      <c r="T113" s="1004"/>
      <c r="U113" s="1004"/>
    </row>
    <row r="114" spans="1:21" s="1003" customFormat="1" x14ac:dyDescent="0.25">
      <c r="A114" s="1031" t="s">
        <v>791</v>
      </c>
      <c r="B114" s="432" t="s">
        <v>215</v>
      </c>
      <c r="C114" s="1013">
        <v>0</v>
      </c>
      <c r="D114" s="1013">
        <v>0</v>
      </c>
      <c r="E114" s="1013">
        <v>100000</v>
      </c>
      <c r="F114" s="1013">
        <v>100000</v>
      </c>
      <c r="G114" s="1013">
        <v>250800</v>
      </c>
      <c r="I114" s="1004"/>
      <c r="J114" s="1004"/>
      <c r="K114" s="1004"/>
      <c r="L114" s="1004"/>
      <c r="M114" s="1004"/>
      <c r="T114" s="1004"/>
      <c r="U114" s="1004"/>
    </row>
    <row r="115" spans="1:21" s="1003" customFormat="1" x14ac:dyDescent="0.25">
      <c r="A115" s="1031" t="s">
        <v>792</v>
      </c>
      <c r="B115" s="432" t="s">
        <v>97</v>
      </c>
      <c r="C115" s="1013">
        <v>16353.14</v>
      </c>
      <c r="D115" s="1013">
        <v>0</v>
      </c>
      <c r="E115" s="1013">
        <v>0</v>
      </c>
      <c r="F115" s="1013">
        <v>0</v>
      </c>
      <c r="G115" s="1013">
        <v>460000</v>
      </c>
      <c r="I115" s="1004"/>
      <c r="J115" s="1004"/>
      <c r="K115" s="1004"/>
      <c r="L115" s="1004"/>
      <c r="M115" s="1004"/>
      <c r="T115" s="1004"/>
      <c r="U115" s="1004"/>
    </row>
    <row r="116" spans="1:21" s="1003" customFormat="1" hidden="1" x14ac:dyDescent="0.25">
      <c r="A116" s="1031" t="s">
        <v>793</v>
      </c>
      <c r="B116" s="432" t="s">
        <v>97</v>
      </c>
      <c r="C116" s="1013">
        <v>0</v>
      </c>
      <c r="D116" s="1013">
        <v>0</v>
      </c>
      <c r="E116" s="1013">
        <v>0</v>
      </c>
      <c r="F116" s="1013">
        <v>0</v>
      </c>
      <c r="G116" s="1013">
        <v>0</v>
      </c>
      <c r="I116" s="1004"/>
      <c r="J116" s="1004"/>
      <c r="K116" s="1004"/>
      <c r="L116" s="1004"/>
      <c r="M116" s="1004"/>
      <c r="T116" s="1004"/>
      <c r="U116" s="1004"/>
    </row>
    <row r="117" spans="1:21" s="1003" customFormat="1" x14ac:dyDescent="0.25">
      <c r="A117" s="1031" t="s">
        <v>794</v>
      </c>
      <c r="B117" s="432" t="s">
        <v>94</v>
      </c>
      <c r="C117" s="1013">
        <v>0</v>
      </c>
      <c r="D117" s="1013">
        <v>40830</v>
      </c>
      <c r="E117" s="1013">
        <v>5000</v>
      </c>
      <c r="F117" s="1013">
        <v>45830</v>
      </c>
      <c r="G117" s="1013">
        <v>0</v>
      </c>
      <c r="I117" s="1004"/>
      <c r="J117" s="1004"/>
      <c r="K117" s="1004"/>
      <c r="L117" s="1004"/>
      <c r="M117" s="1004"/>
      <c r="T117" s="1004"/>
      <c r="U117" s="1004"/>
    </row>
    <row r="118" spans="1:21" s="1003" customFormat="1" x14ac:dyDescent="0.25">
      <c r="A118" s="1031" t="s">
        <v>206</v>
      </c>
      <c r="B118" s="97"/>
      <c r="C118" s="1013">
        <v>0</v>
      </c>
      <c r="D118" s="1013">
        <v>0</v>
      </c>
      <c r="E118" s="1013">
        <v>0</v>
      </c>
      <c r="F118" s="1013">
        <v>0</v>
      </c>
      <c r="G118" s="1013">
        <v>0</v>
      </c>
      <c r="I118" s="1004"/>
      <c r="J118" s="1004"/>
      <c r="K118" s="1004"/>
      <c r="L118" s="1004"/>
      <c r="M118" s="1004"/>
      <c r="T118" s="1004"/>
      <c r="U118" s="1004"/>
    </row>
    <row r="119" spans="1:21" s="1003" customFormat="1" x14ac:dyDescent="0.25">
      <c r="A119" s="1031" t="s">
        <v>795</v>
      </c>
      <c r="B119" s="432" t="s">
        <v>94</v>
      </c>
      <c r="C119" s="1013">
        <v>39542.28</v>
      </c>
      <c r="D119" s="1013">
        <v>2340.29</v>
      </c>
      <c r="E119" s="1013">
        <v>0</v>
      </c>
      <c r="F119" s="1013">
        <v>2340.29</v>
      </c>
      <c r="G119" s="1013">
        <v>15000</v>
      </c>
      <c r="I119" s="1004"/>
      <c r="J119" s="1004"/>
      <c r="K119" s="1004"/>
      <c r="L119" s="1004"/>
      <c r="M119" s="1004"/>
      <c r="T119" s="1004"/>
      <c r="U119" s="1004"/>
    </row>
    <row r="120" spans="1:21" s="1003" customFormat="1" x14ac:dyDescent="0.25">
      <c r="A120" s="1031" t="s">
        <v>796</v>
      </c>
      <c r="B120" s="432" t="s">
        <v>92</v>
      </c>
      <c r="C120" s="1013">
        <v>3375</v>
      </c>
      <c r="D120" s="1013">
        <v>3180</v>
      </c>
      <c r="E120" s="1013">
        <v>2218.8999999999996</v>
      </c>
      <c r="F120" s="1013">
        <v>5398.9</v>
      </c>
      <c r="G120" s="1013">
        <v>15000</v>
      </c>
      <c r="I120" s="1004"/>
      <c r="J120" s="1004"/>
      <c r="K120" s="1004"/>
      <c r="L120" s="1004"/>
      <c r="M120" s="1004"/>
      <c r="T120" s="1004"/>
      <c r="U120" s="1004"/>
    </row>
    <row r="121" spans="1:21" s="1003" customFormat="1" x14ac:dyDescent="0.25">
      <c r="A121" s="1031" t="s">
        <v>797</v>
      </c>
      <c r="B121" s="432" t="s">
        <v>93</v>
      </c>
      <c r="C121" s="1013">
        <v>0</v>
      </c>
      <c r="D121" s="1013">
        <v>0</v>
      </c>
      <c r="E121" s="1013">
        <v>0</v>
      </c>
      <c r="F121" s="1013">
        <v>0</v>
      </c>
      <c r="G121" s="1013">
        <v>15000</v>
      </c>
      <c r="I121" s="1004"/>
      <c r="J121" s="1004"/>
      <c r="K121" s="1004"/>
      <c r="L121" s="1004"/>
      <c r="M121" s="1004"/>
      <c r="T121" s="1004"/>
      <c r="U121" s="1004"/>
    </row>
    <row r="122" spans="1:21" s="1003" customFormat="1" x14ac:dyDescent="0.25">
      <c r="A122" s="1031" t="s">
        <v>798</v>
      </c>
      <c r="B122" s="432" t="s">
        <v>97</v>
      </c>
      <c r="C122" s="1013">
        <v>118712.15</v>
      </c>
      <c r="D122" s="1013">
        <v>61650</v>
      </c>
      <c r="E122" s="1013">
        <v>27600</v>
      </c>
      <c r="F122" s="1013">
        <v>89250</v>
      </c>
      <c r="G122" s="1013">
        <v>122000</v>
      </c>
      <c r="I122" s="1004"/>
      <c r="J122" s="1004"/>
      <c r="K122" s="1004"/>
      <c r="L122" s="1004"/>
      <c r="M122" s="1004"/>
      <c r="T122" s="1004"/>
      <c r="U122" s="1004"/>
    </row>
    <row r="123" spans="1:21" s="1003" customFormat="1" hidden="1" x14ac:dyDescent="0.25">
      <c r="A123" s="1031"/>
      <c r="B123" s="432"/>
      <c r="C123" s="1013">
        <v>0</v>
      </c>
      <c r="D123" s="1013">
        <v>0</v>
      </c>
      <c r="E123" s="1013">
        <v>0</v>
      </c>
      <c r="F123" s="1013">
        <v>0</v>
      </c>
      <c r="G123" s="1013">
        <v>0</v>
      </c>
      <c r="I123" s="1004"/>
      <c r="J123" s="1004"/>
      <c r="K123" s="1004"/>
      <c r="L123" s="1004"/>
      <c r="M123" s="1004"/>
      <c r="T123" s="1004"/>
      <c r="U123" s="1004"/>
    </row>
    <row r="124" spans="1:21" s="1003" customFormat="1" x14ac:dyDescent="0.25">
      <c r="A124" s="1031" t="s">
        <v>799</v>
      </c>
      <c r="B124" s="432" t="s">
        <v>163</v>
      </c>
      <c r="C124" s="1013">
        <v>114784</v>
      </c>
      <c r="D124" s="1013">
        <v>29014</v>
      </c>
      <c r="E124" s="1013">
        <v>49453</v>
      </c>
      <c r="F124" s="1013">
        <v>78467</v>
      </c>
      <c r="G124" s="1013">
        <v>90000</v>
      </c>
      <c r="I124" s="1004"/>
      <c r="J124" s="1004"/>
      <c r="K124" s="1004"/>
      <c r="L124" s="1004"/>
      <c r="M124" s="1004"/>
      <c r="T124" s="1004"/>
      <c r="U124" s="1004"/>
    </row>
    <row r="125" spans="1:21" s="1003" customFormat="1" x14ac:dyDescent="0.25">
      <c r="A125" s="1026" t="s">
        <v>800</v>
      </c>
      <c r="B125" s="432" t="s">
        <v>99</v>
      </c>
      <c r="C125" s="1013">
        <v>1328149.5399999998</v>
      </c>
      <c r="D125" s="1013">
        <v>803677.3899999999</v>
      </c>
      <c r="E125" s="1013">
        <v>803186.09000000008</v>
      </c>
      <c r="F125" s="1013">
        <v>1606863.48</v>
      </c>
      <c r="G125" s="1013">
        <v>1014748.75</v>
      </c>
      <c r="I125" s="1004"/>
      <c r="J125" s="1004"/>
      <c r="K125" s="1004"/>
      <c r="L125" s="1004"/>
      <c r="M125" s="1004"/>
      <c r="T125" s="1004"/>
      <c r="U125" s="1004"/>
    </row>
    <row r="126" spans="1:21" s="1003" customFormat="1" x14ac:dyDescent="0.25">
      <c r="A126" s="1026" t="s">
        <v>801</v>
      </c>
      <c r="B126" s="432"/>
      <c r="C126" s="1013">
        <v>312925.55</v>
      </c>
      <c r="D126" s="1013">
        <v>0</v>
      </c>
      <c r="E126" s="1013">
        <v>388714.68</v>
      </c>
      <c r="F126" s="1013">
        <v>388714.68</v>
      </c>
      <c r="G126" s="1013">
        <v>385000</v>
      </c>
      <c r="I126" s="1004"/>
      <c r="J126" s="1004"/>
      <c r="K126" s="1004"/>
      <c r="L126" s="1004"/>
      <c r="M126" s="1004"/>
      <c r="T126" s="1004"/>
      <c r="U126" s="1004"/>
    </row>
    <row r="127" spans="1:21" s="1003" customFormat="1" x14ac:dyDescent="0.25">
      <c r="A127" s="1026" t="s">
        <v>802</v>
      </c>
      <c r="B127" s="432"/>
      <c r="C127" s="1013">
        <v>336461.19</v>
      </c>
      <c r="D127" s="1013">
        <v>0</v>
      </c>
      <c r="E127" s="1013">
        <v>94977.75</v>
      </c>
      <c r="F127" s="1013">
        <v>94977.75</v>
      </c>
      <c r="G127" s="1013">
        <v>285000</v>
      </c>
      <c r="I127" s="1004"/>
      <c r="J127" s="1004"/>
      <c r="K127" s="1004"/>
      <c r="L127" s="1004"/>
      <c r="M127" s="1004"/>
      <c r="T127" s="1004"/>
      <c r="U127" s="1004"/>
    </row>
    <row r="128" spans="1:21" s="1003" customFormat="1" x14ac:dyDescent="0.25">
      <c r="A128" s="1025" t="s">
        <v>803</v>
      </c>
      <c r="B128" s="432"/>
      <c r="C128" s="1013">
        <v>0</v>
      </c>
      <c r="D128" s="1013">
        <v>0</v>
      </c>
      <c r="E128" s="1013">
        <v>231214.25</v>
      </c>
      <c r="F128" s="1013">
        <v>231214.25</v>
      </c>
      <c r="G128" s="1013">
        <v>300000</v>
      </c>
      <c r="I128" s="1004"/>
      <c r="J128" s="1004"/>
      <c r="K128" s="1004"/>
      <c r="L128" s="1004"/>
      <c r="M128" s="1004"/>
      <c r="T128" s="1004"/>
      <c r="U128" s="1004"/>
    </row>
    <row r="129" spans="1:21" s="1003" customFormat="1" x14ac:dyDescent="0.25">
      <c r="A129" s="1025" t="s">
        <v>804</v>
      </c>
      <c r="B129" s="432"/>
      <c r="C129" s="1013">
        <v>247544</v>
      </c>
      <c r="D129" s="1013">
        <v>0</v>
      </c>
      <c r="E129" s="1013">
        <v>50000</v>
      </c>
      <c r="F129" s="1013">
        <v>50000</v>
      </c>
      <c r="G129" s="1013">
        <v>50000</v>
      </c>
      <c r="I129" s="1004"/>
      <c r="J129" s="1004"/>
      <c r="K129" s="1004"/>
      <c r="L129" s="1004"/>
      <c r="M129" s="1004"/>
      <c r="T129" s="1004"/>
      <c r="U129" s="1004"/>
    </row>
    <row r="130" spans="1:21" s="1003" customFormat="1" hidden="1" x14ac:dyDescent="0.25">
      <c r="A130" s="1033" t="s">
        <v>805</v>
      </c>
      <c r="B130" s="432"/>
      <c r="C130" s="1013">
        <v>0</v>
      </c>
      <c r="D130" s="1013">
        <v>0</v>
      </c>
      <c r="E130" s="1013">
        <v>0</v>
      </c>
      <c r="F130" s="1013">
        <v>0</v>
      </c>
      <c r="G130" s="1013">
        <v>0</v>
      </c>
      <c r="I130" s="1004"/>
      <c r="J130" s="1004"/>
      <c r="K130" s="1004"/>
      <c r="L130" s="1004"/>
      <c r="M130" s="1004"/>
      <c r="T130" s="1004"/>
      <c r="U130" s="1004"/>
    </row>
    <row r="131" spans="1:21" s="1003" customFormat="1" x14ac:dyDescent="0.25">
      <c r="A131" s="1029" t="s">
        <v>806</v>
      </c>
      <c r="B131" s="432"/>
      <c r="C131" s="1013">
        <v>57310</v>
      </c>
      <c r="D131" s="1013">
        <v>0</v>
      </c>
      <c r="E131" s="1013">
        <v>0</v>
      </c>
      <c r="F131" s="1013">
        <v>0</v>
      </c>
      <c r="G131" s="1013">
        <v>100000</v>
      </c>
      <c r="I131" s="1004"/>
      <c r="J131" s="1004"/>
      <c r="K131" s="1004"/>
      <c r="L131" s="1004"/>
      <c r="M131" s="1004"/>
      <c r="T131" s="1004"/>
      <c r="U131" s="1004"/>
    </row>
    <row r="132" spans="1:21" s="1003" customFormat="1" ht="30" x14ac:dyDescent="0.25">
      <c r="A132" s="1034" t="s">
        <v>807</v>
      </c>
      <c r="B132" s="432" t="s">
        <v>96</v>
      </c>
      <c r="C132" s="1013">
        <v>149450</v>
      </c>
      <c r="D132" s="1013">
        <v>0</v>
      </c>
      <c r="E132" s="1013">
        <v>149890</v>
      </c>
      <c r="F132" s="1013">
        <v>149890</v>
      </c>
      <c r="G132" s="1013">
        <v>100000</v>
      </c>
      <c r="I132" s="1004"/>
      <c r="J132" s="1004"/>
      <c r="K132" s="1004"/>
      <c r="L132" s="1004"/>
      <c r="M132" s="1004"/>
      <c r="T132" s="1004"/>
      <c r="U132" s="1004"/>
    </row>
    <row r="133" spans="1:21" s="1003" customFormat="1" x14ac:dyDescent="0.25">
      <c r="A133" s="1029" t="s">
        <v>808</v>
      </c>
      <c r="B133" s="432"/>
      <c r="C133" s="1013">
        <v>112430</v>
      </c>
      <c r="D133" s="1013">
        <v>0</v>
      </c>
      <c r="E133" s="1013">
        <v>154528.53</v>
      </c>
      <c r="F133" s="1013">
        <v>154528.53</v>
      </c>
      <c r="G133" s="1013">
        <v>50000</v>
      </c>
      <c r="I133" s="1004"/>
      <c r="J133" s="1004"/>
      <c r="K133" s="1004"/>
      <c r="L133" s="1004"/>
      <c r="M133" s="1004"/>
      <c r="T133" s="1004"/>
      <c r="U133" s="1004"/>
    </row>
    <row r="134" spans="1:21" s="1003" customFormat="1" x14ac:dyDescent="0.25">
      <c r="A134" s="1029" t="s">
        <v>809</v>
      </c>
      <c r="B134" s="432" t="s">
        <v>284</v>
      </c>
      <c r="C134" s="1013">
        <v>278300</v>
      </c>
      <c r="D134" s="1013">
        <v>178200</v>
      </c>
      <c r="E134" s="1013">
        <v>206100</v>
      </c>
      <c r="F134" s="1013">
        <v>384300</v>
      </c>
      <c r="G134" s="1013">
        <v>557200</v>
      </c>
      <c r="I134" s="1004"/>
      <c r="J134" s="1004"/>
      <c r="K134" s="1004"/>
      <c r="L134" s="1004"/>
      <c r="M134" s="1004"/>
      <c r="T134" s="1004"/>
      <c r="U134" s="1004"/>
    </row>
    <row r="135" spans="1:21" s="1003" customFormat="1" x14ac:dyDescent="0.25">
      <c r="A135" s="1029" t="s">
        <v>810</v>
      </c>
      <c r="B135" s="432" t="s">
        <v>96</v>
      </c>
      <c r="C135" s="1013">
        <v>379613</v>
      </c>
      <c r="D135" s="1013">
        <v>206886.27</v>
      </c>
      <c r="E135" s="1013">
        <v>171351.73</v>
      </c>
      <c r="F135" s="1013">
        <v>378238</v>
      </c>
      <c r="G135" s="1013">
        <v>476000</v>
      </c>
      <c r="I135" s="1004"/>
      <c r="J135" s="1004"/>
      <c r="K135" s="1004"/>
      <c r="L135" s="1004"/>
      <c r="M135" s="1004"/>
      <c r="T135" s="1004"/>
      <c r="U135" s="1004"/>
    </row>
    <row r="136" spans="1:21" x14ac:dyDescent="0.25">
      <c r="A136" s="1029" t="s">
        <v>811</v>
      </c>
      <c r="B136" s="97" t="s">
        <v>284</v>
      </c>
      <c r="C136" s="1013">
        <v>0</v>
      </c>
      <c r="D136" s="1013">
        <v>40320</v>
      </c>
      <c r="E136" s="1013">
        <v>151680</v>
      </c>
      <c r="F136" s="1013">
        <v>192000</v>
      </c>
      <c r="G136" s="1013">
        <v>256000</v>
      </c>
    </row>
    <row r="137" spans="1:21" x14ac:dyDescent="0.25">
      <c r="A137" s="630" t="s">
        <v>812</v>
      </c>
      <c r="B137" s="432" t="s">
        <v>316</v>
      </c>
      <c r="C137" s="1013">
        <v>0</v>
      </c>
      <c r="D137" s="1013">
        <v>0</v>
      </c>
      <c r="E137" s="1013">
        <v>0</v>
      </c>
      <c r="F137" s="1013">
        <v>0</v>
      </c>
      <c r="G137" s="1013">
        <v>100000</v>
      </c>
    </row>
    <row r="138" spans="1:21" ht="15" customHeight="1" x14ac:dyDescent="0.25">
      <c r="A138" s="1035" t="s">
        <v>336</v>
      </c>
      <c r="B138" s="1012"/>
      <c r="C138" s="1022">
        <v>17351663.299999997</v>
      </c>
      <c r="D138" s="1022">
        <v>6238463.2999999998</v>
      </c>
      <c r="E138" s="1022">
        <v>8336688.120000001</v>
      </c>
      <c r="F138" s="1022">
        <v>14575151.419999998</v>
      </c>
      <c r="G138" s="1022">
        <v>16949418.91</v>
      </c>
    </row>
    <row r="139" spans="1:21" ht="15" customHeight="1" x14ac:dyDescent="0.25">
      <c r="A139" s="1011" t="s">
        <v>813</v>
      </c>
      <c r="B139" s="1012"/>
      <c r="C139" s="1023"/>
      <c r="D139" s="1023"/>
      <c r="E139" s="1023"/>
      <c r="F139" s="1023"/>
      <c r="G139" s="1013"/>
    </row>
    <row r="140" spans="1:21" ht="15" customHeight="1" x14ac:dyDescent="0.25">
      <c r="A140" s="1024" t="s">
        <v>814</v>
      </c>
      <c r="B140" s="1012" t="s">
        <v>107</v>
      </c>
      <c r="C140" s="1023">
        <v>481202.15</v>
      </c>
      <c r="D140" s="1023">
        <v>234048.1</v>
      </c>
      <c r="E140" s="1023">
        <v>247331.15</v>
      </c>
      <c r="F140" s="1023">
        <v>481379.25</v>
      </c>
      <c r="G140" s="1013">
        <v>211000</v>
      </c>
    </row>
    <row r="141" spans="1:21" ht="15" customHeight="1" x14ac:dyDescent="0.25">
      <c r="A141" s="1024" t="s">
        <v>815</v>
      </c>
      <c r="B141" s="1012" t="s">
        <v>109</v>
      </c>
      <c r="C141" s="1023">
        <v>0</v>
      </c>
      <c r="D141" s="1023">
        <v>99950</v>
      </c>
      <c r="E141" s="1023">
        <v>39505.920000000013</v>
      </c>
      <c r="F141" s="1023">
        <v>139455.92000000001</v>
      </c>
      <c r="G141" s="1013">
        <v>0</v>
      </c>
    </row>
    <row r="142" spans="1:21" ht="15" customHeight="1" x14ac:dyDescent="0.25">
      <c r="A142" s="1024" t="s">
        <v>816</v>
      </c>
      <c r="B142" s="1012" t="s">
        <v>110</v>
      </c>
      <c r="C142" s="1023">
        <v>0</v>
      </c>
      <c r="D142" s="1023">
        <v>64499.18</v>
      </c>
      <c r="E142" s="1023">
        <v>77700</v>
      </c>
      <c r="F142" s="1023">
        <v>142199.18</v>
      </c>
      <c r="G142" s="1013">
        <v>0</v>
      </c>
    </row>
    <row r="143" spans="1:21" ht="16.5" hidden="1" customHeight="1" x14ac:dyDescent="0.25">
      <c r="A143" s="1024" t="s">
        <v>817</v>
      </c>
      <c r="B143" s="1012"/>
      <c r="C143" s="1023">
        <v>0</v>
      </c>
      <c r="D143" s="1023">
        <v>0</v>
      </c>
      <c r="E143" s="1023">
        <v>0</v>
      </c>
      <c r="F143" s="1023">
        <v>0</v>
      </c>
      <c r="G143" s="1013">
        <v>0</v>
      </c>
    </row>
    <row r="144" spans="1:21" ht="16.5" hidden="1" customHeight="1" x14ac:dyDescent="0.25">
      <c r="A144" s="1024" t="s">
        <v>818</v>
      </c>
      <c r="B144" s="1012"/>
      <c r="C144" s="1023">
        <v>0</v>
      </c>
      <c r="D144" s="1023">
        <v>0</v>
      </c>
      <c r="E144" s="1023">
        <v>0</v>
      </c>
      <c r="F144" s="1023">
        <v>0</v>
      </c>
      <c r="G144" s="1013">
        <v>0</v>
      </c>
    </row>
    <row r="145" spans="1:20" x14ac:dyDescent="0.25">
      <c r="A145" s="1024" t="s">
        <v>819</v>
      </c>
      <c r="B145" s="1012"/>
      <c r="C145" s="1023">
        <v>0</v>
      </c>
      <c r="D145" s="1023">
        <v>0</v>
      </c>
      <c r="E145" s="1023">
        <v>0</v>
      </c>
      <c r="F145" s="1023">
        <v>0</v>
      </c>
      <c r="G145" s="1013">
        <v>0</v>
      </c>
    </row>
    <row r="146" spans="1:20" x14ac:dyDescent="0.25">
      <c r="A146" s="1036" t="s">
        <v>820</v>
      </c>
      <c r="B146" s="1012"/>
      <c r="C146" s="1023">
        <v>0</v>
      </c>
      <c r="D146" s="1023">
        <v>0</v>
      </c>
      <c r="E146" s="1023">
        <v>0</v>
      </c>
      <c r="F146" s="1023">
        <v>0</v>
      </c>
      <c r="G146" s="1013">
        <v>0</v>
      </c>
    </row>
    <row r="147" spans="1:20" x14ac:dyDescent="0.25">
      <c r="A147" s="1036" t="s">
        <v>821</v>
      </c>
      <c r="B147" s="1012"/>
      <c r="C147" s="1023">
        <v>0</v>
      </c>
      <c r="D147" s="1023">
        <v>0</v>
      </c>
      <c r="E147" s="1023">
        <v>0</v>
      </c>
      <c r="F147" s="1023">
        <v>0</v>
      </c>
      <c r="G147" s="1013">
        <v>0</v>
      </c>
    </row>
    <row r="148" spans="1:20" x14ac:dyDescent="0.25">
      <c r="A148" s="1036" t="s">
        <v>822</v>
      </c>
      <c r="B148" s="1012"/>
      <c r="C148" s="1023">
        <v>0</v>
      </c>
      <c r="D148" s="1023">
        <v>0</v>
      </c>
      <c r="E148" s="1023">
        <v>0</v>
      </c>
      <c r="F148" s="1023">
        <v>0</v>
      </c>
      <c r="G148" s="1013">
        <v>0</v>
      </c>
    </row>
    <row r="149" spans="1:20" x14ac:dyDescent="0.25">
      <c r="A149" s="1036" t="s">
        <v>823</v>
      </c>
      <c r="B149" s="1012" t="s">
        <v>133</v>
      </c>
      <c r="C149" s="1023">
        <v>55000</v>
      </c>
      <c r="D149" s="1023">
        <v>0</v>
      </c>
      <c r="E149" s="1023">
        <v>0</v>
      </c>
      <c r="F149" s="1023">
        <v>0</v>
      </c>
      <c r="G149" s="1013">
        <v>257000</v>
      </c>
    </row>
    <row r="150" spans="1:20" x14ac:dyDescent="0.25">
      <c r="A150" s="1036" t="s">
        <v>824</v>
      </c>
      <c r="B150" s="1012"/>
      <c r="C150" s="1023">
        <v>0</v>
      </c>
      <c r="D150" s="1023">
        <v>0</v>
      </c>
      <c r="E150" s="1023">
        <v>0</v>
      </c>
      <c r="F150" s="1023">
        <v>0</v>
      </c>
      <c r="G150" s="1013">
        <v>0</v>
      </c>
    </row>
    <row r="151" spans="1:20" x14ac:dyDescent="0.25">
      <c r="A151" s="1036" t="s">
        <v>825</v>
      </c>
      <c r="B151" s="1012" t="s">
        <v>133</v>
      </c>
      <c r="C151" s="1023">
        <v>143569</v>
      </c>
      <c r="D151" s="1023">
        <v>420</v>
      </c>
      <c r="E151" s="1023">
        <v>100586</v>
      </c>
      <c r="F151" s="1023">
        <v>101006</v>
      </c>
      <c r="G151" s="1013">
        <v>250000</v>
      </c>
    </row>
    <row r="152" spans="1:20" x14ac:dyDescent="0.25">
      <c r="A152" s="1036" t="s">
        <v>826</v>
      </c>
      <c r="B152" s="1012" t="s">
        <v>169</v>
      </c>
      <c r="C152" s="1023">
        <v>79850</v>
      </c>
      <c r="D152" s="1023">
        <v>0</v>
      </c>
      <c r="E152" s="1023">
        <v>0</v>
      </c>
      <c r="F152" s="1023">
        <v>0</v>
      </c>
      <c r="G152" s="1013">
        <v>0</v>
      </c>
    </row>
    <row r="153" spans="1:20" x14ac:dyDescent="0.25">
      <c r="A153" s="1036" t="s">
        <v>827</v>
      </c>
      <c r="B153" s="1012" t="s">
        <v>159</v>
      </c>
      <c r="C153" s="1023">
        <v>0</v>
      </c>
      <c r="D153" s="1023">
        <v>0</v>
      </c>
      <c r="E153" s="1023">
        <v>71225</v>
      </c>
      <c r="F153" s="1023">
        <v>71225</v>
      </c>
      <c r="G153" s="1013">
        <v>150000</v>
      </c>
    </row>
    <row r="154" spans="1:20" x14ac:dyDescent="0.25">
      <c r="A154" s="1036" t="s">
        <v>828</v>
      </c>
      <c r="B154" s="1012" t="s">
        <v>108</v>
      </c>
      <c r="C154" s="1023">
        <v>0</v>
      </c>
      <c r="D154" s="1023">
        <v>0</v>
      </c>
      <c r="E154" s="1023">
        <v>0</v>
      </c>
      <c r="F154" s="1023">
        <v>0</v>
      </c>
      <c r="G154" s="1013">
        <v>259720</v>
      </c>
    </row>
    <row r="155" spans="1:20" x14ac:dyDescent="0.25">
      <c r="A155" s="1036" t="s">
        <v>829</v>
      </c>
      <c r="B155" s="1012" t="s">
        <v>110</v>
      </c>
      <c r="C155" s="1023">
        <v>25000</v>
      </c>
      <c r="D155" s="1023">
        <v>0</v>
      </c>
      <c r="E155" s="1023">
        <v>0</v>
      </c>
      <c r="F155" s="1023">
        <v>0</v>
      </c>
      <c r="G155" s="1013">
        <v>423500</v>
      </c>
    </row>
    <row r="156" spans="1:20" x14ac:dyDescent="0.25">
      <c r="A156" s="1036" t="s">
        <v>830</v>
      </c>
      <c r="B156" s="1012" t="s">
        <v>169</v>
      </c>
      <c r="C156" s="1023">
        <v>0</v>
      </c>
      <c r="D156" s="1023">
        <v>0</v>
      </c>
      <c r="E156" s="1023">
        <v>0</v>
      </c>
      <c r="F156" s="1023">
        <v>0</v>
      </c>
      <c r="G156" s="1013">
        <v>120000</v>
      </c>
    </row>
    <row r="157" spans="1:20" x14ac:dyDescent="0.25">
      <c r="A157" s="1024" t="s">
        <v>831</v>
      </c>
      <c r="B157" s="1012" t="s">
        <v>110</v>
      </c>
      <c r="C157" s="1023">
        <v>0</v>
      </c>
      <c r="D157" s="1023">
        <v>0</v>
      </c>
      <c r="E157" s="1023">
        <v>0</v>
      </c>
      <c r="F157" s="1023">
        <v>0</v>
      </c>
      <c r="G157" s="1013">
        <v>25000</v>
      </c>
    </row>
    <row r="158" spans="1:20" x14ac:dyDescent="0.25">
      <c r="A158" s="1015" t="s">
        <v>832</v>
      </c>
      <c r="B158" s="1012"/>
      <c r="C158" s="1023">
        <v>0</v>
      </c>
      <c r="D158" s="1023">
        <v>0</v>
      </c>
      <c r="E158" s="1023">
        <v>0</v>
      </c>
      <c r="F158" s="1023">
        <v>0</v>
      </c>
      <c r="G158" s="1013">
        <v>228000</v>
      </c>
    </row>
    <row r="159" spans="1:20" x14ac:dyDescent="0.25">
      <c r="A159" s="1015" t="s">
        <v>833</v>
      </c>
      <c r="B159" s="1012" t="s">
        <v>312</v>
      </c>
      <c r="C159" s="1023">
        <v>0</v>
      </c>
      <c r="D159" s="1023">
        <v>0</v>
      </c>
      <c r="E159" s="1023">
        <v>0</v>
      </c>
      <c r="F159" s="1023">
        <v>0</v>
      </c>
      <c r="G159" s="1013">
        <v>15000</v>
      </c>
    </row>
    <row r="160" spans="1:20" x14ac:dyDescent="0.25">
      <c r="A160" s="1011" t="s">
        <v>376</v>
      </c>
      <c r="B160" s="1012"/>
      <c r="C160" s="1022">
        <v>784621.15</v>
      </c>
      <c r="D160" s="1022">
        <v>398917.27999999997</v>
      </c>
      <c r="E160" s="1022">
        <v>536348.07000000007</v>
      </c>
      <c r="F160" s="1022">
        <v>935265.35000000009</v>
      </c>
      <c r="G160" s="1022">
        <v>1939220</v>
      </c>
      <c r="T160" s="1014"/>
    </row>
    <row r="161" spans="1:21" ht="15" customHeight="1" x14ac:dyDescent="0.25">
      <c r="A161" s="1037" t="s">
        <v>834</v>
      </c>
      <c r="B161" s="1012"/>
      <c r="C161" s="1023"/>
      <c r="D161" s="1023"/>
      <c r="E161" s="1023"/>
      <c r="F161" s="1023"/>
      <c r="G161" s="1013"/>
      <c r="T161" s="1014"/>
    </row>
    <row r="162" spans="1:21" ht="30" x14ac:dyDescent="0.25">
      <c r="A162" s="1038" t="s">
        <v>835</v>
      </c>
      <c r="B162" s="1012"/>
      <c r="C162" s="1023">
        <v>12124794.24</v>
      </c>
      <c r="D162" s="1023">
        <v>269818.26</v>
      </c>
      <c r="E162" s="1023">
        <v>2902268.2199999997</v>
      </c>
      <c r="F162" s="1023">
        <v>3172086.48</v>
      </c>
      <c r="G162" s="1023">
        <v>20141363.400000002</v>
      </c>
      <c r="T162" s="1014"/>
      <c r="U162" s="1014"/>
    </row>
    <row r="163" spans="1:21" x14ac:dyDescent="0.25">
      <c r="A163" s="1039" t="s">
        <v>836</v>
      </c>
      <c r="B163" s="1012"/>
      <c r="C163" s="1023">
        <v>1331206.94</v>
      </c>
      <c r="D163" s="1023">
        <v>430766.6</v>
      </c>
      <c r="E163" s="1023">
        <v>2192823.35</v>
      </c>
      <c r="F163" s="1023">
        <v>2623589.9500000002</v>
      </c>
      <c r="G163" s="1023">
        <v>5293112.5999999996</v>
      </c>
      <c r="T163" s="1014"/>
      <c r="U163" s="1014"/>
    </row>
    <row r="164" spans="1:21" x14ac:dyDescent="0.25">
      <c r="A164" s="1039" t="s">
        <v>837</v>
      </c>
      <c r="B164" s="1012"/>
      <c r="C164" s="1023"/>
      <c r="D164" s="1023"/>
      <c r="E164" s="1023">
        <v>0</v>
      </c>
      <c r="F164" s="1023"/>
      <c r="G164" s="1013"/>
    </row>
    <row r="165" spans="1:21" ht="15" customHeight="1" x14ac:dyDescent="0.25">
      <c r="A165" s="1040" t="s">
        <v>838</v>
      </c>
      <c r="B165" s="1012"/>
      <c r="C165" s="1023"/>
      <c r="D165" s="1023"/>
      <c r="E165" s="1023">
        <v>0</v>
      </c>
      <c r="F165" s="1023"/>
      <c r="G165" s="1013"/>
    </row>
    <row r="166" spans="1:21" x14ac:dyDescent="0.25">
      <c r="A166" s="1039" t="s">
        <v>839</v>
      </c>
      <c r="B166" s="1012"/>
      <c r="C166" s="1023"/>
      <c r="D166" s="1023"/>
      <c r="E166" s="1023">
        <v>0</v>
      </c>
      <c r="F166" s="1023"/>
      <c r="G166" s="1013"/>
    </row>
    <row r="167" spans="1:21" ht="15" customHeight="1" x14ac:dyDescent="0.25">
      <c r="A167" s="1039" t="s">
        <v>840</v>
      </c>
      <c r="B167" s="1012"/>
      <c r="C167" s="1023">
        <v>7088107.79</v>
      </c>
      <c r="D167" s="1023">
        <v>3851406.9000000004</v>
      </c>
      <c r="E167" s="1023">
        <v>6196843.4399999995</v>
      </c>
      <c r="F167" s="1023">
        <v>10048250.34</v>
      </c>
      <c r="G167" s="1023">
        <v>14097523.210000001</v>
      </c>
      <c r="T167" s="1014"/>
      <c r="U167" s="1014"/>
    </row>
    <row r="168" spans="1:21" ht="15" customHeight="1" x14ac:dyDescent="0.25">
      <c r="A168" s="1039" t="s">
        <v>841</v>
      </c>
      <c r="B168" s="1012"/>
      <c r="C168" s="1041">
        <v>20544108.969999999</v>
      </c>
      <c r="D168" s="1041">
        <v>4551991.7600000007</v>
      </c>
      <c r="E168" s="1041">
        <v>11291935.01</v>
      </c>
      <c r="F168" s="1041">
        <v>15843926.77</v>
      </c>
      <c r="G168" s="1041">
        <v>39531999.210000001</v>
      </c>
      <c r="T168" s="1003"/>
      <c r="U168" s="1014"/>
    </row>
    <row r="169" spans="1:21" ht="15" customHeight="1" x14ac:dyDescent="0.25">
      <c r="A169" s="1042" t="s">
        <v>842</v>
      </c>
      <c r="B169" s="1043"/>
      <c r="C169" s="1044">
        <v>71760099.280000001</v>
      </c>
      <c r="D169" s="1044">
        <v>30565022.800000001</v>
      </c>
      <c r="E169" s="1044">
        <v>42674919.890000001</v>
      </c>
      <c r="F169" s="1044">
        <v>73239942.689999998</v>
      </c>
      <c r="G169" s="1044">
        <v>110406777.378528</v>
      </c>
    </row>
    <row r="170" spans="1:21" x14ac:dyDescent="0.25">
      <c r="E170" s="593"/>
      <c r="F170" s="593"/>
    </row>
    <row r="171" spans="1:21" ht="29.25" customHeight="1" x14ac:dyDescent="0.25">
      <c r="A171" s="1065" t="s">
        <v>843</v>
      </c>
      <c r="B171" s="1065"/>
      <c r="C171" s="1065"/>
      <c r="D171" s="1065"/>
      <c r="E171" s="1065"/>
      <c r="F171" s="1065"/>
      <c r="G171" s="1065"/>
    </row>
    <row r="172" spans="1:21" ht="23.25" customHeight="1" x14ac:dyDescent="0.25">
      <c r="A172" s="1046"/>
      <c r="B172" s="1046"/>
      <c r="C172" s="1047"/>
      <c r="D172" s="1048"/>
      <c r="E172" s="1047"/>
      <c r="F172" s="1049"/>
      <c r="G172" s="1047"/>
    </row>
    <row r="174" spans="1:21" s="1045" customFormat="1" ht="24" customHeight="1" x14ac:dyDescent="0.25">
      <c r="A174" s="1050" t="s">
        <v>844</v>
      </c>
      <c r="C174" s="41"/>
      <c r="D174" s="41"/>
      <c r="E174" s="41"/>
      <c r="F174" s="41"/>
      <c r="G174" s="41"/>
      <c r="H174" s="1003"/>
      <c r="N174" s="1051"/>
      <c r="O174" s="1051"/>
      <c r="P174" s="1051"/>
      <c r="Q174" s="1051"/>
      <c r="R174" s="1051"/>
      <c r="S174" s="1051"/>
    </row>
    <row r="175" spans="1:21" s="1045" customFormat="1" ht="15" customHeight="1" x14ac:dyDescent="0.25">
      <c r="A175" s="1004"/>
      <c r="C175" s="41"/>
      <c r="D175" s="41"/>
      <c r="E175" s="41"/>
      <c r="F175" s="41"/>
      <c r="G175" s="41"/>
      <c r="H175" s="1003"/>
      <c r="N175" s="1051"/>
      <c r="O175" s="1051"/>
      <c r="P175" s="1051"/>
      <c r="Q175" s="1051"/>
      <c r="R175" s="1051"/>
      <c r="S175" s="1051"/>
    </row>
    <row r="176" spans="1:21" s="1053" customFormat="1" ht="15.75" x14ac:dyDescent="0.25">
      <c r="A176" s="1066" t="s">
        <v>51</v>
      </c>
      <c r="B176" s="1066"/>
      <c r="C176" s="1066"/>
      <c r="D176" s="1067" t="s">
        <v>117</v>
      </c>
      <c r="E176" s="1067"/>
      <c r="F176" s="1067"/>
      <c r="G176" s="1067"/>
      <c r="H176" s="1052"/>
      <c r="N176" s="1054"/>
      <c r="O176" s="1054"/>
      <c r="P176" s="1054"/>
      <c r="Q176" s="1054"/>
      <c r="R176" s="1054"/>
      <c r="S176" s="1054"/>
    </row>
    <row r="177" spans="1:19" s="1045" customFormat="1" x14ac:dyDescent="0.25">
      <c r="A177" s="1057" t="s">
        <v>845</v>
      </c>
      <c r="B177" s="1057"/>
      <c r="C177" s="1057"/>
      <c r="D177" s="1058" t="s">
        <v>846</v>
      </c>
      <c r="E177" s="1058"/>
      <c r="F177" s="1058"/>
      <c r="G177" s="1058"/>
      <c r="H177" s="1003"/>
      <c r="N177" s="1051"/>
      <c r="O177" s="1051"/>
      <c r="P177" s="1051"/>
      <c r="Q177" s="1051"/>
      <c r="R177" s="1051"/>
      <c r="S177" s="1051"/>
    </row>
    <row r="178" spans="1:19" s="1045" customFormat="1" x14ac:dyDescent="0.25">
      <c r="B178" s="1055"/>
      <c r="C178" s="1055"/>
      <c r="G178" s="41"/>
      <c r="H178" s="1003"/>
      <c r="N178" s="1051"/>
      <c r="O178" s="1051"/>
      <c r="P178" s="1051"/>
      <c r="Q178" s="1051"/>
      <c r="R178" s="1051"/>
      <c r="S178" s="1051"/>
    </row>
  </sheetData>
  <sheetProtection algorithmName="SHA-512" hashValue="wULDCi4aR8ayIWWs8oh5Aa5efWP//Q9YYIHNM0Roy/2jHUm40zzIZ4eS6LubyyBvqWaBsUkOZHlCM23kAz1DFA==" saltValue="Ba1tQO+RUi+ysY5DHDAF9w==" spinCount="100000" sheet="1" objects="1" scenarios="1" selectLockedCells="1" selectUnlockedCells="1"/>
  <mergeCells count="15">
    <mergeCell ref="H9:H10"/>
    <mergeCell ref="A171:G171"/>
    <mergeCell ref="A176:C176"/>
    <mergeCell ref="D176:G176"/>
    <mergeCell ref="A3:G3"/>
    <mergeCell ref="A4:G4"/>
    <mergeCell ref="A5:G5"/>
    <mergeCell ref="A6:G6"/>
    <mergeCell ref="A7:G7"/>
    <mergeCell ref="A8:G8"/>
    <mergeCell ref="A177:C177"/>
    <mergeCell ref="D177:G177"/>
    <mergeCell ref="A9:A11"/>
    <mergeCell ref="B9:B11"/>
    <mergeCell ref="D9:F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L57"/>
  <sheetViews>
    <sheetView topLeftCell="A37" zoomScaleNormal="100" workbookViewId="0">
      <selection activeCell="D59" sqref="D59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14.42578125" style="41" customWidth="1"/>
    <col min="11" max="11" width="14" style="41" bestFit="1" customWidth="1"/>
    <col min="12" max="12" width="9.5703125" style="41" bestFit="1" customWidth="1"/>
    <col min="13" max="16384" width="9.140625" style="41"/>
  </cols>
  <sheetData>
    <row r="1" spans="1:9" x14ac:dyDescent="0.25">
      <c r="A1" s="41" t="s">
        <v>9</v>
      </c>
      <c r="I1" s="41" t="s">
        <v>27</v>
      </c>
    </row>
    <row r="3" spans="1:9" s="118" customFormat="1" ht="15" customHeight="1" x14ac:dyDescent="0.25">
      <c r="A3" s="1067" t="s">
        <v>10</v>
      </c>
      <c r="B3" s="1067"/>
      <c r="C3" s="1067"/>
      <c r="D3" s="1067"/>
      <c r="E3" s="1067"/>
      <c r="F3" s="1067"/>
      <c r="G3" s="1067"/>
      <c r="H3" s="1067"/>
      <c r="I3" s="1067"/>
    </row>
    <row r="4" spans="1:9" s="118" customFormat="1" ht="15.75" x14ac:dyDescent="0.25">
      <c r="A4" s="1067" t="s">
        <v>47</v>
      </c>
      <c r="B4" s="1067"/>
      <c r="C4" s="1067"/>
      <c r="D4" s="1067"/>
      <c r="E4" s="1067"/>
      <c r="F4" s="1067"/>
      <c r="G4" s="1067"/>
      <c r="H4" s="1067"/>
      <c r="I4" s="1067"/>
    </row>
    <row r="5" spans="1:9" s="118" customFormat="1" ht="27" customHeight="1" x14ac:dyDescent="0.25">
      <c r="B5" s="586"/>
    </row>
    <row r="6" spans="1:9" s="118" customFormat="1" ht="15.75" x14ac:dyDescent="0.25">
      <c r="A6" s="118" t="s">
        <v>149</v>
      </c>
    </row>
    <row r="7" spans="1:9" s="118" customFormat="1" ht="15.75" x14ac:dyDescent="0.25">
      <c r="A7" s="118" t="s">
        <v>136</v>
      </c>
    </row>
    <row r="8" spans="1:9" s="118" customFormat="1" ht="15.75" x14ac:dyDescent="0.25">
      <c r="A8" s="118" t="s">
        <v>126</v>
      </c>
    </row>
    <row r="9" spans="1:9" ht="15" customHeight="1" x14ac:dyDescent="0.3">
      <c r="B9" s="532"/>
      <c r="C9" s="532"/>
      <c r="D9" s="532"/>
      <c r="E9" s="532"/>
      <c r="F9" s="532"/>
      <c r="G9" s="532"/>
      <c r="H9" s="532"/>
      <c r="I9" s="532"/>
    </row>
    <row r="10" spans="1:9" x14ac:dyDescent="0.25">
      <c r="A10" s="617"/>
      <c r="B10" s="1129" t="s">
        <v>0</v>
      </c>
      <c r="C10" s="1120" t="s">
        <v>1</v>
      </c>
      <c r="D10" s="212" t="s">
        <v>2</v>
      </c>
      <c r="E10" s="1082" t="s">
        <v>105</v>
      </c>
      <c r="F10" s="1124" t="s">
        <v>8</v>
      </c>
      <c r="G10" s="1129"/>
      <c r="H10" s="1125"/>
      <c r="I10" s="212" t="s">
        <v>3</v>
      </c>
    </row>
    <row r="11" spans="1:9" ht="54" customHeight="1" x14ac:dyDescent="0.25">
      <c r="A11" s="588"/>
      <c r="B11" s="1064"/>
      <c r="C11" s="1121"/>
      <c r="D11" s="213" t="s">
        <v>4</v>
      </c>
      <c r="E11" s="1083"/>
      <c r="F11" s="618" t="s">
        <v>39</v>
      </c>
      <c r="G11" s="618" t="s">
        <v>38</v>
      </c>
      <c r="H11" s="212" t="s">
        <v>5</v>
      </c>
      <c r="I11" s="213" t="s">
        <v>6</v>
      </c>
    </row>
    <row r="12" spans="1:9" x14ac:dyDescent="0.25">
      <c r="A12" s="588"/>
      <c r="B12" s="619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9" x14ac:dyDescent="0.25">
      <c r="A13" s="588"/>
      <c r="B13" s="619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590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620" t="s">
        <v>11</v>
      </c>
      <c r="B15" s="620"/>
      <c r="C15" s="213"/>
      <c r="D15" s="213"/>
      <c r="E15" s="213"/>
      <c r="F15" s="213"/>
      <c r="G15" s="213"/>
      <c r="H15" s="213"/>
      <c r="I15" s="213"/>
    </row>
    <row r="16" spans="1:9" x14ac:dyDescent="0.25">
      <c r="A16" s="100"/>
      <c r="B16" s="105" t="s">
        <v>219</v>
      </c>
      <c r="C16" s="89" t="s">
        <v>73</v>
      </c>
      <c r="D16" s="98">
        <v>1009116</v>
      </c>
      <c r="E16" s="98">
        <v>1579560</v>
      </c>
      <c r="F16" s="98">
        <v>805975</v>
      </c>
      <c r="G16" s="621">
        <f>H16-F16</f>
        <v>773585</v>
      </c>
      <c r="H16" s="98">
        <v>1579560</v>
      </c>
      <c r="I16" s="550">
        <f>[1]MTO!$L$48</f>
        <v>1902060</v>
      </c>
    </row>
    <row r="17" spans="1:11" x14ac:dyDescent="0.25">
      <c r="A17" s="100"/>
      <c r="B17" s="105" t="s">
        <v>220</v>
      </c>
      <c r="C17" s="89" t="s">
        <v>86</v>
      </c>
      <c r="D17" s="98">
        <v>635756.07999999996</v>
      </c>
      <c r="E17" s="98">
        <v>100000</v>
      </c>
      <c r="F17" s="98">
        <v>55405</v>
      </c>
      <c r="G17" s="621">
        <f t="shared" ref="G17:G29" si="0">H17-F17</f>
        <v>253330</v>
      </c>
      <c r="H17" s="98">
        <v>308735</v>
      </c>
      <c r="I17" s="98">
        <f>[1]MTO!$M$48</f>
        <v>150000</v>
      </c>
    </row>
    <row r="18" spans="1:11" x14ac:dyDescent="0.25">
      <c r="A18" s="100"/>
      <c r="B18" s="538" t="s">
        <v>221</v>
      </c>
      <c r="C18" s="184" t="s">
        <v>74</v>
      </c>
      <c r="D18" s="98">
        <v>216000</v>
      </c>
      <c r="E18" s="98">
        <v>216000</v>
      </c>
      <c r="F18" s="98">
        <v>117000</v>
      </c>
      <c r="G18" s="621">
        <f t="shared" si="0"/>
        <v>99000</v>
      </c>
      <c r="H18" s="98">
        <v>216000</v>
      </c>
      <c r="I18" s="550">
        <f>[1]MTO!$N$48</f>
        <v>240000</v>
      </c>
    </row>
    <row r="19" spans="1:11" x14ac:dyDescent="0.25">
      <c r="A19" s="100"/>
      <c r="B19" s="538" t="s">
        <v>224</v>
      </c>
      <c r="C19" s="184" t="s">
        <v>75</v>
      </c>
      <c r="D19" s="98">
        <v>67500</v>
      </c>
      <c r="E19" s="98">
        <v>67500</v>
      </c>
      <c r="F19" s="98">
        <v>33750</v>
      </c>
      <c r="G19" s="621">
        <f t="shared" si="0"/>
        <v>33750</v>
      </c>
      <c r="H19" s="98">
        <v>67500</v>
      </c>
      <c r="I19" s="550">
        <f>[1]MTO!$O$48</f>
        <v>67500</v>
      </c>
    </row>
    <row r="20" spans="1:11" x14ac:dyDescent="0.25">
      <c r="A20" s="100"/>
      <c r="B20" s="538" t="s">
        <v>223</v>
      </c>
      <c r="C20" s="184" t="s">
        <v>76</v>
      </c>
      <c r="D20" s="98">
        <v>67500</v>
      </c>
      <c r="E20" s="98">
        <v>67500</v>
      </c>
      <c r="F20" s="98">
        <v>33750</v>
      </c>
      <c r="G20" s="621">
        <f t="shared" si="0"/>
        <v>33750</v>
      </c>
      <c r="H20" s="98">
        <v>67500</v>
      </c>
      <c r="I20" s="550">
        <f>[1]MTO!$P$48</f>
        <v>67500</v>
      </c>
    </row>
    <row r="21" spans="1:11" x14ac:dyDescent="0.25">
      <c r="A21" s="100"/>
      <c r="B21" s="538" t="s">
        <v>222</v>
      </c>
      <c r="C21" s="184" t="s">
        <v>77</v>
      </c>
      <c r="D21" s="98">
        <v>35000</v>
      </c>
      <c r="E21" s="98">
        <v>45000</v>
      </c>
      <c r="F21" s="98"/>
      <c r="G21" s="621">
        <f t="shared" si="0"/>
        <v>52000</v>
      </c>
      <c r="H21" s="98">
        <v>52000</v>
      </c>
      <c r="I21" s="550">
        <f>[1]MTO!$Q$48</f>
        <v>60000</v>
      </c>
    </row>
    <row r="22" spans="1:11" x14ac:dyDescent="0.25">
      <c r="A22" s="100"/>
      <c r="B22" s="538" t="s">
        <v>225</v>
      </c>
      <c r="C22" s="184" t="s">
        <v>78</v>
      </c>
      <c r="D22" s="98">
        <v>30000</v>
      </c>
      <c r="E22" s="98">
        <v>45000</v>
      </c>
      <c r="F22" s="98"/>
      <c r="G22" s="621">
        <f t="shared" si="0"/>
        <v>45000</v>
      </c>
      <c r="H22" s="98">
        <v>45000</v>
      </c>
      <c r="I22" s="594">
        <f>[1]MTO!$R$48</f>
        <v>50000</v>
      </c>
    </row>
    <row r="23" spans="1:11" x14ac:dyDescent="0.25">
      <c r="A23" s="100"/>
      <c r="B23" s="538" t="s">
        <v>226</v>
      </c>
      <c r="C23" s="184" t="s">
        <v>80</v>
      </c>
      <c r="D23" s="98">
        <f>104742.4+105491</f>
        <v>210233.4</v>
      </c>
      <c r="E23" s="98">
        <f>131630+131233</f>
        <v>262863</v>
      </c>
      <c r="F23" s="98"/>
      <c r="G23" s="621">
        <f t="shared" si="0"/>
        <v>262202</v>
      </c>
      <c r="H23" s="98">
        <f>131630+130572</f>
        <v>262202</v>
      </c>
      <c r="I23" s="550">
        <f>[1]MTO!$S$48</f>
        <v>317010</v>
      </c>
    </row>
    <row r="24" spans="1:11" x14ac:dyDescent="0.25">
      <c r="A24" s="100"/>
      <c r="B24" s="538" t="s">
        <v>227</v>
      </c>
      <c r="C24" s="184" t="s">
        <v>79</v>
      </c>
      <c r="D24" s="98">
        <v>4500</v>
      </c>
      <c r="E24" s="98">
        <v>45000</v>
      </c>
      <c r="F24" s="98"/>
      <c r="G24" s="621">
        <f t="shared" si="0"/>
        <v>45000</v>
      </c>
      <c r="H24" s="98">
        <v>45000</v>
      </c>
      <c r="I24" s="550">
        <f>[1]MTO!$T$48</f>
        <v>50000</v>
      </c>
    </row>
    <row r="25" spans="1:11" x14ac:dyDescent="0.25">
      <c r="A25" s="100"/>
      <c r="B25" s="538" t="s">
        <v>228</v>
      </c>
      <c r="C25" s="184" t="s">
        <v>81</v>
      </c>
      <c r="D25" s="98">
        <v>101165.6</v>
      </c>
      <c r="E25" s="98">
        <v>189547.2</v>
      </c>
      <c r="F25" s="98">
        <v>97166.16</v>
      </c>
      <c r="G25" s="621">
        <f t="shared" si="0"/>
        <v>92381.040000000008</v>
      </c>
      <c r="H25" s="98">
        <v>189547.2</v>
      </c>
      <c r="I25" s="550">
        <f>[1]MTO!$U$48</f>
        <v>228247.19999999995</v>
      </c>
    </row>
    <row r="26" spans="1:11" x14ac:dyDescent="0.25">
      <c r="A26" s="100"/>
      <c r="B26" s="538" t="s">
        <v>229</v>
      </c>
      <c r="C26" s="184" t="s">
        <v>82</v>
      </c>
      <c r="D26" s="98">
        <v>5700</v>
      </c>
      <c r="E26" s="98">
        <v>10800</v>
      </c>
      <c r="F26" s="98">
        <v>6000</v>
      </c>
      <c r="G26" s="621">
        <f t="shared" si="0"/>
        <v>4800</v>
      </c>
      <c r="H26" s="98">
        <v>10800</v>
      </c>
      <c r="I26" s="550">
        <f>[1]MTO!$V$48</f>
        <v>12000</v>
      </c>
    </row>
    <row r="27" spans="1:11" x14ac:dyDescent="0.25">
      <c r="A27" s="100"/>
      <c r="B27" s="538" t="s">
        <v>230</v>
      </c>
      <c r="C27" s="184" t="s">
        <v>83</v>
      </c>
      <c r="D27" s="98">
        <v>13376</v>
      </c>
      <c r="E27" s="98">
        <v>15600</v>
      </c>
      <c r="F27" s="98">
        <v>10873.4</v>
      </c>
      <c r="G27" s="621">
        <f t="shared" si="0"/>
        <v>8918.2500000000018</v>
      </c>
      <c r="H27" s="98">
        <v>19791.650000000001</v>
      </c>
      <c r="I27" s="550">
        <f>[1]MTO!$W$48</f>
        <v>21918.105</v>
      </c>
    </row>
    <row r="28" spans="1:11" x14ac:dyDescent="0.25">
      <c r="A28" s="100"/>
      <c r="B28" s="538" t="s">
        <v>231</v>
      </c>
      <c r="C28" s="184" t="s">
        <v>84</v>
      </c>
      <c r="D28" s="98">
        <v>5181.17</v>
      </c>
      <c r="E28" s="98">
        <v>15795.6</v>
      </c>
      <c r="F28" s="98">
        <v>5258.42</v>
      </c>
      <c r="G28" s="621">
        <f t="shared" si="0"/>
        <v>6207.43</v>
      </c>
      <c r="H28" s="98">
        <v>11465.85</v>
      </c>
      <c r="I28" s="550">
        <f>[1]MTO!$X$48</f>
        <v>19020.600000000002</v>
      </c>
    </row>
    <row r="29" spans="1:11" x14ac:dyDescent="0.25">
      <c r="A29" s="596"/>
      <c r="B29" s="539" t="s">
        <v>233</v>
      </c>
      <c r="C29" s="186" t="s">
        <v>85</v>
      </c>
      <c r="D29" s="202">
        <v>93446.6</v>
      </c>
      <c r="E29" s="202">
        <v>111675.98</v>
      </c>
      <c r="F29" s="202">
        <v>102991.66</v>
      </c>
      <c r="G29" s="622">
        <f t="shared" si="0"/>
        <v>942</v>
      </c>
      <c r="H29" s="202">
        <v>103933.66</v>
      </c>
      <c r="I29" s="601">
        <f>[1]MTO!$Z$48</f>
        <v>138872.08431999999</v>
      </c>
    </row>
    <row r="30" spans="1:11" x14ac:dyDescent="0.25">
      <c r="A30" s="143" t="s">
        <v>71</v>
      </c>
      <c r="B30" s="555"/>
      <c r="C30" s="603"/>
      <c r="D30" s="143">
        <f t="shared" ref="D30:I30" si="1">SUM(D16:D29)</f>
        <v>2494474.85</v>
      </c>
      <c r="E30" s="143">
        <f t="shared" si="1"/>
        <v>2771841.7800000003</v>
      </c>
      <c r="F30" s="143">
        <f t="shared" si="1"/>
        <v>1268169.6399999997</v>
      </c>
      <c r="G30" s="143">
        <f t="shared" si="1"/>
        <v>1710865.72</v>
      </c>
      <c r="H30" s="143">
        <f t="shared" si="1"/>
        <v>2979035.3600000003</v>
      </c>
      <c r="I30" s="143">
        <f t="shared" si="1"/>
        <v>3324127.9893200002</v>
      </c>
      <c r="J30" s="593"/>
      <c r="K30" s="593"/>
    </row>
    <row r="31" spans="1:11" x14ac:dyDescent="0.25">
      <c r="A31" s="623" t="s">
        <v>14</v>
      </c>
      <c r="B31" s="624"/>
      <c r="C31" s="130"/>
      <c r="D31" s="130"/>
      <c r="E31" s="130"/>
      <c r="F31" s="130"/>
      <c r="G31" s="130"/>
      <c r="H31" s="130"/>
      <c r="I31" s="130"/>
    </row>
    <row r="32" spans="1:11" x14ac:dyDescent="0.25">
      <c r="A32" s="100"/>
      <c r="B32" s="568" t="s">
        <v>234</v>
      </c>
      <c r="C32" s="97" t="s">
        <v>92</v>
      </c>
      <c r="D32" s="625">
        <v>205945.1</v>
      </c>
      <c r="E32" s="626">
        <v>140900</v>
      </c>
      <c r="F32" s="627">
        <v>88818.7</v>
      </c>
      <c r="G32" s="625">
        <f>H32-F32</f>
        <v>79131.530000000013</v>
      </c>
      <c r="H32" s="625">
        <v>167950.23</v>
      </c>
      <c r="I32" s="628">
        <v>130000</v>
      </c>
      <c r="J32" s="593"/>
    </row>
    <row r="33" spans="1:12" x14ac:dyDescent="0.25">
      <c r="A33" s="100"/>
      <c r="B33" s="568" t="s">
        <v>235</v>
      </c>
      <c r="C33" s="97" t="s">
        <v>93</v>
      </c>
      <c r="D33" s="625">
        <v>73739</v>
      </c>
      <c r="E33" s="626">
        <v>82000</v>
      </c>
      <c r="F33" s="627">
        <v>18800</v>
      </c>
      <c r="G33" s="625">
        <f>H33-F33</f>
        <v>63150.25</v>
      </c>
      <c r="H33" s="625">
        <v>81950.25</v>
      </c>
      <c r="I33" s="628">
        <v>80000</v>
      </c>
      <c r="J33" s="593"/>
    </row>
    <row r="34" spans="1:12" x14ac:dyDescent="0.25">
      <c r="A34" s="100"/>
      <c r="B34" s="568" t="s">
        <v>236</v>
      </c>
      <c r="C34" s="97" t="s">
        <v>94</v>
      </c>
      <c r="D34" s="625">
        <v>59937.26</v>
      </c>
      <c r="E34" s="626">
        <v>90000</v>
      </c>
      <c r="F34" s="627">
        <v>29386.52</v>
      </c>
      <c r="G34" s="625">
        <f t="shared" ref="G34:G42" si="2">H34-F34</f>
        <v>44708.06</v>
      </c>
      <c r="H34" s="625">
        <v>74094.58</v>
      </c>
      <c r="I34" s="628">
        <v>70000</v>
      </c>
      <c r="J34" s="593"/>
    </row>
    <row r="35" spans="1:12" x14ac:dyDescent="0.25">
      <c r="A35" s="100"/>
      <c r="B35" s="629" t="s">
        <v>287</v>
      </c>
      <c r="C35" s="432" t="s">
        <v>104</v>
      </c>
      <c r="D35" s="625">
        <v>72869.5</v>
      </c>
      <c r="E35" s="626">
        <v>50000</v>
      </c>
      <c r="F35" s="627">
        <v>33495</v>
      </c>
      <c r="G35" s="625">
        <f>H35-F35</f>
        <v>16505</v>
      </c>
      <c r="H35" s="625">
        <v>50000</v>
      </c>
      <c r="I35" s="628">
        <v>50000</v>
      </c>
      <c r="J35" s="593"/>
    </row>
    <row r="36" spans="1:12" x14ac:dyDescent="0.25">
      <c r="A36" s="100"/>
      <c r="B36" s="568" t="s">
        <v>268</v>
      </c>
      <c r="C36" s="97" t="s">
        <v>98</v>
      </c>
      <c r="D36" s="625"/>
      <c r="E36" s="626"/>
      <c r="F36" s="627"/>
      <c r="G36" s="630"/>
      <c r="H36" s="625"/>
      <c r="I36" s="628">
        <v>20000</v>
      </c>
      <c r="J36" s="593"/>
    </row>
    <row r="37" spans="1:12" x14ac:dyDescent="0.25">
      <c r="A37" s="100"/>
      <c r="B37" s="568" t="s">
        <v>237</v>
      </c>
      <c r="C37" s="97" t="s">
        <v>95</v>
      </c>
      <c r="D37" s="625">
        <v>19997.95</v>
      </c>
      <c r="E37" s="626">
        <v>38000</v>
      </c>
      <c r="F37" s="627">
        <v>15540.99</v>
      </c>
      <c r="G37" s="625">
        <f t="shared" si="2"/>
        <v>22079.420000000006</v>
      </c>
      <c r="H37" s="625">
        <v>37620.410000000003</v>
      </c>
      <c r="I37" s="628">
        <v>24000</v>
      </c>
      <c r="J37" s="593"/>
    </row>
    <row r="38" spans="1:12" x14ac:dyDescent="0.25">
      <c r="A38" s="100"/>
      <c r="B38" s="629" t="s">
        <v>238</v>
      </c>
      <c r="C38" s="97" t="s">
        <v>118</v>
      </c>
      <c r="D38" s="625"/>
      <c r="E38" s="626"/>
      <c r="F38" s="627"/>
      <c r="G38" s="625"/>
      <c r="H38" s="625"/>
      <c r="I38" s="628">
        <v>18000</v>
      </c>
      <c r="J38" s="593"/>
    </row>
    <row r="39" spans="1:12" x14ac:dyDescent="0.25">
      <c r="A39" s="100"/>
      <c r="B39" s="568" t="s">
        <v>255</v>
      </c>
      <c r="C39" s="97" t="s">
        <v>96</v>
      </c>
      <c r="D39" s="625">
        <v>143530</v>
      </c>
      <c r="E39" s="626">
        <v>100000</v>
      </c>
      <c r="F39" s="627">
        <v>97025</v>
      </c>
      <c r="G39" s="625">
        <f t="shared" si="2"/>
        <v>1100</v>
      </c>
      <c r="H39" s="625">
        <v>98125</v>
      </c>
      <c r="I39" s="628">
        <v>182900</v>
      </c>
      <c r="J39" s="593"/>
    </row>
    <row r="40" spans="1:12" x14ac:dyDescent="0.25">
      <c r="A40" s="100"/>
      <c r="B40" s="568" t="s">
        <v>240</v>
      </c>
      <c r="C40" s="97" t="s">
        <v>99</v>
      </c>
      <c r="D40" s="625">
        <v>3860</v>
      </c>
      <c r="E40" s="626">
        <v>4000</v>
      </c>
      <c r="F40" s="627">
        <v>1398</v>
      </c>
      <c r="G40" s="625">
        <f t="shared" si="2"/>
        <v>1647.9899999999998</v>
      </c>
      <c r="H40" s="625">
        <v>3045.99</v>
      </c>
      <c r="I40" s="628">
        <v>3000</v>
      </c>
      <c r="J40" s="593"/>
    </row>
    <row r="41" spans="1:12" x14ac:dyDescent="0.25">
      <c r="A41" s="100"/>
      <c r="B41" s="568" t="s">
        <v>283</v>
      </c>
      <c r="C41" s="97" t="s">
        <v>137</v>
      </c>
      <c r="D41" s="625">
        <v>4912.5</v>
      </c>
      <c r="E41" s="626">
        <v>5000</v>
      </c>
      <c r="F41" s="627"/>
      <c r="G41" s="625">
        <f t="shared" si="2"/>
        <v>3678.68</v>
      </c>
      <c r="H41" s="625">
        <v>3678.68</v>
      </c>
      <c r="I41" s="628">
        <v>4000</v>
      </c>
      <c r="J41" s="593"/>
    </row>
    <row r="42" spans="1:12" x14ac:dyDescent="0.25">
      <c r="A42" s="100"/>
      <c r="B42" s="631" t="s">
        <v>256</v>
      </c>
      <c r="C42" s="97" t="s">
        <v>101</v>
      </c>
      <c r="D42" s="625">
        <v>4000</v>
      </c>
      <c r="E42" s="626">
        <v>14000</v>
      </c>
      <c r="F42" s="627"/>
      <c r="G42" s="625">
        <f t="shared" si="2"/>
        <v>3802</v>
      </c>
      <c r="H42" s="625">
        <v>3802</v>
      </c>
      <c r="I42" s="628">
        <v>10000</v>
      </c>
      <c r="J42" s="593"/>
    </row>
    <row r="43" spans="1:12" x14ac:dyDescent="0.25">
      <c r="A43" s="100"/>
      <c r="B43" s="629" t="s">
        <v>288</v>
      </c>
      <c r="C43" s="432" t="s">
        <v>97</v>
      </c>
      <c r="D43" s="625">
        <v>10000</v>
      </c>
      <c r="E43" s="626">
        <v>40000</v>
      </c>
      <c r="F43" s="627"/>
      <c r="G43" s="625">
        <f>H43-F43</f>
        <v>40000</v>
      </c>
      <c r="H43" s="625">
        <v>40000</v>
      </c>
      <c r="I43" s="628">
        <v>40000</v>
      </c>
      <c r="J43" s="593"/>
    </row>
    <row r="44" spans="1:12" x14ac:dyDescent="0.25">
      <c r="A44" s="596"/>
      <c r="B44" s="632" t="s">
        <v>289</v>
      </c>
      <c r="C44" s="633" t="s">
        <v>97</v>
      </c>
      <c r="D44" s="634">
        <v>122930</v>
      </c>
      <c r="E44" s="635">
        <v>150000</v>
      </c>
      <c r="F44" s="636">
        <v>65160</v>
      </c>
      <c r="G44" s="634">
        <f>H44-F44</f>
        <v>84840</v>
      </c>
      <c r="H44" s="634">
        <v>150000</v>
      </c>
      <c r="I44" s="637">
        <v>82000</v>
      </c>
      <c r="J44" s="593"/>
    </row>
    <row r="45" spans="1:12" x14ac:dyDescent="0.25">
      <c r="A45" s="564" t="s">
        <v>68</v>
      </c>
      <c r="B45" s="565"/>
      <c r="C45" s="638"/>
      <c r="D45" s="143">
        <f>SUM(D32:D44)</f>
        <v>721721.31</v>
      </c>
      <c r="E45" s="143">
        <f t="shared" ref="E45" si="3">SUM(E32:E44)</f>
        <v>713900</v>
      </c>
      <c r="F45" s="143">
        <f>SUM(F32:F44)</f>
        <v>349624.20999999996</v>
      </c>
      <c r="G45" s="143">
        <f>SUM(G32:G44)</f>
        <v>360642.93000000005</v>
      </c>
      <c r="H45" s="143">
        <f>SUM(H32:H44)</f>
        <v>710267.1399999999</v>
      </c>
      <c r="I45" s="143">
        <f>SUM(I32:I44)</f>
        <v>713900</v>
      </c>
      <c r="J45" s="593"/>
      <c r="K45" s="157"/>
      <c r="L45" s="593"/>
    </row>
    <row r="46" spans="1:12" x14ac:dyDescent="0.25">
      <c r="A46" s="140" t="s">
        <v>26</v>
      </c>
      <c r="B46" s="370"/>
      <c r="C46" s="395"/>
      <c r="D46" s="639"/>
      <c r="E46" s="639"/>
      <c r="F46" s="147"/>
      <c r="G46" s="639"/>
      <c r="H46" s="639"/>
      <c r="I46" s="639"/>
      <c r="K46" s="157"/>
    </row>
    <row r="47" spans="1:12" x14ac:dyDescent="0.25">
      <c r="A47" s="100"/>
      <c r="B47" s="172" t="s">
        <v>290</v>
      </c>
      <c r="C47" s="89" t="s">
        <v>133</v>
      </c>
      <c r="D47" s="198">
        <v>30000</v>
      </c>
      <c r="E47" s="102"/>
      <c r="F47" s="198"/>
      <c r="G47" s="198">
        <f>H47-F47</f>
        <v>0</v>
      </c>
      <c r="H47" s="198"/>
      <c r="I47" s="102"/>
      <c r="K47" s="157"/>
    </row>
    <row r="48" spans="1:12" x14ac:dyDescent="0.25">
      <c r="A48" s="100"/>
      <c r="B48" s="105" t="s">
        <v>243</v>
      </c>
      <c r="C48" s="336" t="s">
        <v>110</v>
      </c>
      <c r="D48" s="198"/>
      <c r="E48" s="102"/>
      <c r="F48" s="198"/>
      <c r="G48" s="198"/>
      <c r="H48" s="198"/>
      <c r="I48" s="102"/>
    </row>
    <row r="49" spans="1:9" x14ac:dyDescent="0.25">
      <c r="A49" s="100"/>
      <c r="B49" s="105" t="s">
        <v>244</v>
      </c>
      <c r="C49" s="201" t="s">
        <v>108</v>
      </c>
      <c r="D49" s="198"/>
      <c r="E49" s="102"/>
      <c r="F49" s="198"/>
      <c r="G49" s="198"/>
      <c r="H49" s="198"/>
      <c r="I49" s="102"/>
    </row>
    <row r="50" spans="1:9" x14ac:dyDescent="0.25">
      <c r="A50" s="596"/>
      <c r="B50" s="501" t="s">
        <v>245</v>
      </c>
      <c r="C50" s="546" t="s">
        <v>107</v>
      </c>
      <c r="D50" s="202">
        <v>79800</v>
      </c>
      <c r="E50" s="202">
        <v>182000</v>
      </c>
      <c r="F50" s="202">
        <v>63294.25</v>
      </c>
      <c r="G50" s="202">
        <f>H50-F50</f>
        <v>10752.5</v>
      </c>
      <c r="H50" s="202">
        <v>74046.75</v>
      </c>
      <c r="I50" s="202"/>
    </row>
    <row r="51" spans="1:9" x14ac:dyDescent="0.25">
      <c r="A51" s="142" t="s">
        <v>72</v>
      </c>
      <c r="B51" s="579"/>
      <c r="C51" s="565"/>
      <c r="D51" s="143">
        <f>SUM(D47:D50)</f>
        <v>109800</v>
      </c>
      <c r="E51" s="143">
        <f t="shared" ref="E51:H51" si="4">SUM(E47:E50)</f>
        <v>182000</v>
      </c>
      <c r="F51" s="143">
        <f t="shared" si="4"/>
        <v>63294.25</v>
      </c>
      <c r="G51" s="143">
        <f t="shared" si="4"/>
        <v>10752.5</v>
      </c>
      <c r="H51" s="143">
        <f t="shared" si="4"/>
        <v>74046.75</v>
      </c>
      <c r="I51" s="143">
        <f>SUM(I47:I50)</f>
        <v>0</v>
      </c>
    </row>
    <row r="52" spans="1:9" x14ac:dyDescent="0.25">
      <c r="A52" s="542" t="s">
        <v>20</v>
      </c>
      <c r="B52" s="606"/>
      <c r="C52" s="640"/>
      <c r="D52" s="580">
        <f t="shared" ref="D52:H52" si="5">D30+D45+D51</f>
        <v>3325996.16</v>
      </c>
      <c r="E52" s="580">
        <f t="shared" si="5"/>
        <v>3667741.7800000003</v>
      </c>
      <c r="F52" s="580">
        <f t="shared" si="5"/>
        <v>1681088.0999999996</v>
      </c>
      <c r="G52" s="580">
        <f>G30+G45+G51</f>
        <v>2082261.15</v>
      </c>
      <c r="H52" s="580">
        <f t="shared" si="5"/>
        <v>3763349.25</v>
      </c>
      <c r="I52" s="580">
        <f>I30+I45+I51</f>
        <v>4038027.9893200002</v>
      </c>
    </row>
    <row r="53" spans="1:9" x14ac:dyDescent="0.25">
      <c r="B53" s="150"/>
      <c r="C53" s="151"/>
      <c r="D53" s="152"/>
      <c r="E53" s="152"/>
      <c r="F53" s="152"/>
      <c r="G53" s="149"/>
      <c r="H53" s="149"/>
      <c r="I53" s="149"/>
    </row>
    <row r="54" spans="1:9" x14ac:dyDescent="0.25">
      <c r="B54" s="153" t="s">
        <v>22</v>
      </c>
      <c r="C54" s="36" t="s">
        <v>23</v>
      </c>
      <c r="D54" s="36"/>
      <c r="E54" s="36"/>
      <c r="F54" s="113"/>
      <c r="G54" s="36" t="s">
        <v>24</v>
      </c>
      <c r="H54" s="36"/>
      <c r="I54" s="36"/>
    </row>
    <row r="55" spans="1:9" x14ac:dyDescent="0.25">
      <c r="B55" s="36"/>
      <c r="C55" s="36"/>
      <c r="D55" s="36"/>
      <c r="E55" s="36"/>
      <c r="F55" s="113"/>
      <c r="G55" s="36"/>
      <c r="H55" s="36"/>
      <c r="I55" s="36"/>
    </row>
    <row r="56" spans="1:9" x14ac:dyDescent="0.25">
      <c r="B56" s="216" t="s">
        <v>52</v>
      </c>
      <c r="C56" s="1128" t="s">
        <v>51</v>
      </c>
      <c r="D56" s="1128"/>
      <c r="E56" s="1128"/>
      <c r="F56" s="1128"/>
      <c r="G56" s="1085" t="s">
        <v>117</v>
      </c>
      <c r="H56" s="1085"/>
      <c r="I56" s="1085"/>
    </row>
    <row r="57" spans="1:9" x14ac:dyDescent="0.25">
      <c r="B57" s="206" t="s">
        <v>63</v>
      </c>
      <c r="C57" s="1070" t="s">
        <v>64</v>
      </c>
      <c r="D57" s="1070"/>
      <c r="E57" s="1070"/>
      <c r="F57" s="1070"/>
      <c r="G57" s="1070" t="s">
        <v>67</v>
      </c>
      <c r="H57" s="1070"/>
      <c r="I57" s="1070"/>
    </row>
  </sheetData>
  <sheetProtection algorithmName="SHA-512" hashValue="suQ5uYpEXJppRdgwd1llhFrkRKHugOD5m1MsO8p+wT1KJaiA8r1IEhbkN3GotUMc676EXBNhl2m6qXJPqfc/Lg==" saltValue="qIwQC8zKrTwsqcN0J3Drhg==" spinCount="100000" sheet="1" objects="1" scenarios="1" selectLockedCells="1" selectUnlockedCells="1"/>
  <mergeCells count="10">
    <mergeCell ref="A3:I3"/>
    <mergeCell ref="A4:I4"/>
    <mergeCell ref="C56:F56"/>
    <mergeCell ref="G56:I56"/>
    <mergeCell ref="C57:F57"/>
    <mergeCell ref="G57:I57"/>
    <mergeCell ref="B10:B11"/>
    <mergeCell ref="C10:C11"/>
    <mergeCell ref="F10:H10"/>
    <mergeCell ref="E10:E14"/>
  </mergeCells>
  <printOptions horizontalCentered="1"/>
  <pageMargins left="0.43" right="0" top="0.75" bottom="0" header="0" footer="0"/>
  <pageSetup paperSize="5" scale="75" orientation="portrait" r:id="rId1"/>
  <headerFooter>
    <oddHeader>&amp;R&amp;D &amp;T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K57"/>
  <sheetViews>
    <sheetView topLeftCell="A26" zoomScaleNormal="100" zoomScaleSheetLayoutView="100" workbookViewId="0">
      <selection activeCell="H58" sqref="H58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15.5703125" style="41" customWidth="1"/>
    <col min="11" max="11" width="14" style="41" bestFit="1" customWidth="1"/>
    <col min="12" max="16384" width="9.140625" style="41"/>
  </cols>
  <sheetData>
    <row r="1" spans="1:9" x14ac:dyDescent="0.25">
      <c r="A1" s="41" t="s">
        <v>9</v>
      </c>
      <c r="I1" s="41" t="s">
        <v>27</v>
      </c>
    </row>
    <row r="2" spans="1:9" ht="15" customHeight="1" x14ac:dyDescent="0.25">
      <c r="A2" s="1067" t="s">
        <v>10</v>
      </c>
      <c r="B2" s="1067"/>
      <c r="C2" s="1067"/>
      <c r="D2" s="1067"/>
      <c r="E2" s="1067"/>
      <c r="F2" s="1067"/>
      <c r="G2" s="1067"/>
      <c r="H2" s="1067"/>
      <c r="I2" s="1067"/>
    </row>
    <row r="3" spans="1:9" ht="15" customHeight="1" x14ac:dyDescent="0.25">
      <c r="A3" s="1067" t="s">
        <v>47</v>
      </c>
      <c r="B3" s="1067"/>
      <c r="C3" s="1067"/>
      <c r="D3" s="1067"/>
      <c r="E3" s="1067"/>
      <c r="F3" s="1067"/>
      <c r="G3" s="1067"/>
      <c r="H3" s="1067"/>
      <c r="I3" s="1067"/>
    </row>
    <row r="4" spans="1:9" ht="15.75" x14ac:dyDescent="0.25">
      <c r="B4" s="586"/>
      <c r="C4" s="118"/>
      <c r="D4" s="118"/>
      <c r="E4" s="118"/>
      <c r="F4" s="118"/>
      <c r="G4" s="118"/>
      <c r="H4" s="118"/>
      <c r="I4" s="118"/>
    </row>
    <row r="5" spans="1:9" ht="15" customHeight="1" x14ac:dyDescent="0.25">
      <c r="A5" s="586" t="s">
        <v>150</v>
      </c>
      <c r="B5" s="586"/>
      <c r="C5" s="118"/>
      <c r="D5" s="118"/>
      <c r="E5" s="118"/>
      <c r="F5" s="118"/>
      <c r="G5" s="118"/>
      <c r="H5" s="118"/>
      <c r="I5" s="118"/>
    </row>
    <row r="6" spans="1:9" ht="15.75" x14ac:dyDescent="0.25">
      <c r="A6" s="118" t="s">
        <v>138</v>
      </c>
      <c r="B6" s="118"/>
      <c r="C6" s="118"/>
      <c r="D6" s="118"/>
      <c r="E6" s="118"/>
      <c r="F6" s="118"/>
      <c r="G6" s="118"/>
      <c r="H6" s="118"/>
      <c r="I6" s="118"/>
    </row>
    <row r="7" spans="1:9" ht="15.75" x14ac:dyDescent="0.25">
      <c r="A7" s="118" t="s">
        <v>139</v>
      </c>
      <c r="B7" s="118"/>
      <c r="C7" s="118"/>
      <c r="D7" s="118"/>
      <c r="E7" s="118"/>
      <c r="F7" s="118"/>
      <c r="G7" s="118"/>
      <c r="H7" s="118"/>
      <c r="I7" s="118"/>
    </row>
    <row r="9" spans="1:9" x14ac:dyDescent="0.25">
      <c r="A9" s="617"/>
      <c r="B9" s="1125" t="s">
        <v>0</v>
      </c>
      <c r="C9" s="1120" t="s">
        <v>1</v>
      </c>
      <c r="D9" s="212" t="s">
        <v>2</v>
      </c>
      <c r="E9" s="1129" t="s">
        <v>105</v>
      </c>
      <c r="F9" s="1129" t="s">
        <v>8</v>
      </c>
      <c r="G9" s="1129"/>
      <c r="H9" s="1129"/>
      <c r="I9" s="212" t="s">
        <v>3</v>
      </c>
    </row>
    <row r="10" spans="1:9" ht="50.25" customHeight="1" x14ac:dyDescent="0.25">
      <c r="A10" s="588"/>
      <c r="B10" s="1127"/>
      <c r="C10" s="1121"/>
      <c r="D10" s="213" t="s">
        <v>4</v>
      </c>
      <c r="E10" s="1064"/>
      <c r="F10" s="618" t="s">
        <v>40</v>
      </c>
      <c r="G10" s="618" t="s">
        <v>34</v>
      </c>
      <c r="H10" s="641" t="s">
        <v>5</v>
      </c>
      <c r="I10" s="213" t="s">
        <v>6</v>
      </c>
    </row>
    <row r="11" spans="1:9" x14ac:dyDescent="0.25">
      <c r="A11" s="588"/>
      <c r="B11" s="589"/>
      <c r="C11" s="213"/>
      <c r="D11" s="213"/>
      <c r="E11" s="1064"/>
      <c r="F11" s="213" t="s">
        <v>4</v>
      </c>
      <c r="G11" s="213" t="s">
        <v>7</v>
      </c>
      <c r="H11" s="642"/>
      <c r="I11" s="213"/>
    </row>
    <row r="12" spans="1:9" x14ac:dyDescent="0.25">
      <c r="A12" s="588"/>
      <c r="B12" s="589"/>
      <c r="C12" s="213"/>
      <c r="D12" s="213">
        <v>2017</v>
      </c>
      <c r="E12" s="1064"/>
      <c r="F12" s="129">
        <v>2018</v>
      </c>
      <c r="G12" s="129">
        <v>2018</v>
      </c>
      <c r="H12" s="643"/>
      <c r="I12" s="213">
        <v>2019</v>
      </c>
    </row>
    <row r="13" spans="1:9" x14ac:dyDescent="0.25">
      <c r="A13" s="590"/>
      <c r="B13" s="132">
        <v>1</v>
      </c>
      <c r="C13" s="214">
        <v>2</v>
      </c>
      <c r="D13" s="214">
        <v>3</v>
      </c>
      <c r="E13" s="1130"/>
      <c r="F13" s="214">
        <v>4</v>
      </c>
      <c r="G13" s="214">
        <v>5</v>
      </c>
      <c r="H13" s="644">
        <v>6</v>
      </c>
      <c r="I13" s="214">
        <v>7</v>
      </c>
    </row>
    <row r="14" spans="1:9" x14ac:dyDescent="0.25">
      <c r="A14" s="645" t="s">
        <v>11</v>
      </c>
      <c r="B14" s="646"/>
      <c r="C14" s="212"/>
      <c r="D14" s="212"/>
      <c r="E14" s="212"/>
      <c r="F14" s="212"/>
      <c r="G14" s="212"/>
      <c r="H14" s="212"/>
      <c r="I14" s="212"/>
    </row>
    <row r="15" spans="1:9" s="651" customFormat="1" x14ac:dyDescent="0.25">
      <c r="A15" s="647"/>
      <c r="B15" s="172" t="s">
        <v>219</v>
      </c>
      <c r="C15" s="648" t="s">
        <v>73</v>
      </c>
      <c r="D15" s="649">
        <v>1001376</v>
      </c>
      <c r="E15" s="649">
        <v>1017336</v>
      </c>
      <c r="F15" s="649">
        <v>442369</v>
      </c>
      <c r="G15" s="650">
        <f>H15-F15</f>
        <v>552481.6</v>
      </c>
      <c r="H15" s="649">
        <v>994850.6</v>
      </c>
      <c r="I15" s="650">
        <f>[1]Assessor!$L$33</f>
        <v>1349664</v>
      </c>
    </row>
    <row r="16" spans="1:9" x14ac:dyDescent="0.25">
      <c r="A16" s="100"/>
      <c r="B16" s="172" t="s">
        <v>220</v>
      </c>
      <c r="C16" s="89" t="s">
        <v>86</v>
      </c>
      <c r="D16" s="98">
        <v>118600</v>
      </c>
      <c r="E16" s="98">
        <v>150000</v>
      </c>
      <c r="F16" s="98">
        <v>109646</v>
      </c>
      <c r="G16" s="550">
        <f t="shared" ref="G16:G28" si="0">H16-F16</f>
        <v>28000</v>
      </c>
      <c r="H16" s="98">
        <v>137646</v>
      </c>
      <c r="I16" s="550">
        <f>[1]Assessor!$M$33</f>
        <v>150000</v>
      </c>
    </row>
    <row r="17" spans="1:11" x14ac:dyDescent="0.25">
      <c r="A17" s="100"/>
      <c r="B17" s="173" t="s">
        <v>221</v>
      </c>
      <c r="C17" s="184" t="s">
        <v>74</v>
      </c>
      <c r="D17" s="98">
        <v>120000</v>
      </c>
      <c r="E17" s="98">
        <v>96000</v>
      </c>
      <c r="F17" s="98">
        <v>50000</v>
      </c>
      <c r="G17" s="550">
        <f t="shared" si="0"/>
        <v>46000</v>
      </c>
      <c r="H17" s="98">
        <v>96000</v>
      </c>
      <c r="I17" s="550">
        <f>[1]Assessor!$N$33</f>
        <v>144000</v>
      </c>
    </row>
    <row r="18" spans="1:11" x14ac:dyDescent="0.25">
      <c r="A18" s="100"/>
      <c r="B18" s="173" t="s">
        <v>224</v>
      </c>
      <c r="C18" s="184" t="s">
        <v>75</v>
      </c>
      <c r="D18" s="98">
        <v>67500</v>
      </c>
      <c r="E18" s="98">
        <v>67500</v>
      </c>
      <c r="F18" s="98">
        <v>33750</v>
      </c>
      <c r="G18" s="550">
        <f t="shared" si="0"/>
        <v>33750</v>
      </c>
      <c r="H18" s="98">
        <v>67500</v>
      </c>
      <c r="I18" s="550">
        <f>[1]Assessor!$O$33</f>
        <v>67500</v>
      </c>
    </row>
    <row r="19" spans="1:11" x14ac:dyDescent="0.25">
      <c r="A19" s="100"/>
      <c r="B19" s="173" t="s">
        <v>223</v>
      </c>
      <c r="C19" s="184" t="s">
        <v>76</v>
      </c>
      <c r="D19" s="98">
        <v>67500</v>
      </c>
      <c r="E19" s="98">
        <v>67500</v>
      </c>
      <c r="F19" s="98">
        <v>33750</v>
      </c>
      <c r="G19" s="550">
        <f t="shared" si="0"/>
        <v>33750</v>
      </c>
      <c r="H19" s="98">
        <v>67500</v>
      </c>
      <c r="I19" s="550">
        <f>[1]Assessor!$P$33</f>
        <v>67500</v>
      </c>
    </row>
    <row r="20" spans="1:11" x14ac:dyDescent="0.25">
      <c r="A20" s="100"/>
      <c r="B20" s="173" t="s">
        <v>222</v>
      </c>
      <c r="C20" s="184" t="s">
        <v>77</v>
      </c>
      <c r="D20" s="98">
        <v>25000</v>
      </c>
      <c r="E20" s="98">
        <v>20000</v>
      </c>
      <c r="F20" s="98"/>
      <c r="G20" s="550">
        <f t="shared" si="0"/>
        <v>20000</v>
      </c>
      <c r="H20" s="98">
        <v>20000</v>
      </c>
      <c r="I20" s="550">
        <f>[1]Assessor!$Q$33</f>
        <v>36000</v>
      </c>
    </row>
    <row r="21" spans="1:11" x14ac:dyDescent="0.25">
      <c r="A21" s="100"/>
      <c r="B21" s="173" t="s">
        <v>225</v>
      </c>
      <c r="C21" s="184" t="s">
        <v>78</v>
      </c>
      <c r="D21" s="98">
        <v>25000</v>
      </c>
      <c r="E21" s="98">
        <v>20000</v>
      </c>
      <c r="F21" s="98"/>
      <c r="G21" s="550">
        <f t="shared" si="0"/>
        <v>20000</v>
      </c>
      <c r="H21" s="98">
        <v>20000</v>
      </c>
      <c r="I21" s="550">
        <f>[1]Assessor!$R$33</f>
        <v>30000</v>
      </c>
    </row>
    <row r="22" spans="1:11" x14ac:dyDescent="0.25">
      <c r="A22" s="100"/>
      <c r="B22" s="173" t="s">
        <v>226</v>
      </c>
      <c r="C22" s="184" t="s">
        <v>80</v>
      </c>
      <c r="D22" s="98">
        <f>83448+83448</f>
        <v>166896</v>
      </c>
      <c r="E22" s="98">
        <f>84778*2</f>
        <v>169556</v>
      </c>
      <c r="F22" s="98"/>
      <c r="G22" s="550">
        <f t="shared" si="0"/>
        <v>168720</v>
      </c>
      <c r="H22" s="98">
        <f>84778+83942</f>
        <v>168720</v>
      </c>
      <c r="I22" s="550">
        <f>[1]Assessor!$S$33</f>
        <v>224944</v>
      </c>
    </row>
    <row r="23" spans="1:11" x14ac:dyDescent="0.25">
      <c r="A23" s="100"/>
      <c r="B23" s="173" t="s">
        <v>227</v>
      </c>
      <c r="C23" s="184" t="s">
        <v>79</v>
      </c>
      <c r="D23" s="98">
        <v>25000</v>
      </c>
      <c r="E23" s="98">
        <v>25000</v>
      </c>
      <c r="F23" s="98"/>
      <c r="G23" s="550">
        <f t="shared" si="0"/>
        <v>25000</v>
      </c>
      <c r="H23" s="98">
        <v>25000</v>
      </c>
      <c r="I23" s="550">
        <f>[1]Assessor!$T$33</f>
        <v>30000</v>
      </c>
    </row>
    <row r="24" spans="1:11" x14ac:dyDescent="0.25">
      <c r="A24" s="100"/>
      <c r="B24" s="173" t="s">
        <v>228</v>
      </c>
      <c r="C24" s="184" t="s">
        <v>81</v>
      </c>
      <c r="D24" s="98">
        <v>120435.08</v>
      </c>
      <c r="E24" s="98">
        <v>122080.32000000001</v>
      </c>
      <c r="F24" s="98">
        <v>53084.52</v>
      </c>
      <c r="G24" s="550">
        <f t="shared" si="0"/>
        <v>67247.09</v>
      </c>
      <c r="H24" s="98">
        <v>120331.61</v>
      </c>
      <c r="I24" s="550">
        <f>[1]Assessor!$U$33</f>
        <v>161959.67999999999</v>
      </c>
    </row>
    <row r="25" spans="1:11" x14ac:dyDescent="0.25">
      <c r="A25" s="100"/>
      <c r="B25" s="173" t="s">
        <v>229</v>
      </c>
      <c r="C25" s="184" t="s">
        <v>82</v>
      </c>
      <c r="D25" s="98">
        <v>6000</v>
      </c>
      <c r="E25" s="98">
        <v>4800</v>
      </c>
      <c r="F25" s="98">
        <v>2500</v>
      </c>
      <c r="G25" s="550">
        <f t="shared" si="0"/>
        <v>2300</v>
      </c>
      <c r="H25" s="98">
        <v>4800</v>
      </c>
      <c r="I25" s="550">
        <f>[1]Assessor!$V$33</f>
        <v>7200</v>
      </c>
    </row>
    <row r="26" spans="1:11" x14ac:dyDescent="0.25">
      <c r="A26" s="100"/>
      <c r="B26" s="173" t="s">
        <v>230</v>
      </c>
      <c r="C26" s="184" t="s">
        <v>83</v>
      </c>
      <c r="D26" s="98">
        <v>10462.5</v>
      </c>
      <c r="E26" s="98">
        <v>8850</v>
      </c>
      <c r="F26" s="98">
        <v>5081.0600000000004</v>
      </c>
      <c r="G26" s="550">
        <f t="shared" si="0"/>
        <v>5862.3</v>
      </c>
      <c r="H26" s="98">
        <v>10943.36</v>
      </c>
      <c r="I26" s="550">
        <f>[1]Assessor!$W$33</f>
        <v>14496.734999999999</v>
      </c>
    </row>
    <row r="27" spans="1:11" x14ac:dyDescent="0.25">
      <c r="A27" s="100"/>
      <c r="B27" s="173" t="s">
        <v>231</v>
      </c>
      <c r="C27" s="184" t="s">
        <v>84</v>
      </c>
      <c r="D27" s="98">
        <v>5268.04</v>
      </c>
      <c r="E27" s="98">
        <v>10173.36</v>
      </c>
      <c r="F27" s="98">
        <v>2239.92</v>
      </c>
      <c r="G27" s="550">
        <f t="shared" si="0"/>
        <v>3325.8500000000004</v>
      </c>
      <c r="H27" s="98">
        <v>5565.77</v>
      </c>
      <c r="I27" s="550">
        <f>[1]Assessor!$X$33</f>
        <v>13496.64</v>
      </c>
    </row>
    <row r="28" spans="1:11" x14ac:dyDescent="0.25">
      <c r="A28" s="100"/>
      <c r="B28" s="173" t="s">
        <v>233</v>
      </c>
      <c r="C28" s="184" t="s">
        <v>85</v>
      </c>
      <c r="D28" s="198">
        <v>76823.98</v>
      </c>
      <c r="E28" s="198">
        <v>81713.62</v>
      </c>
      <c r="F28" s="198">
        <v>81713.62</v>
      </c>
      <c r="G28" s="550">
        <f t="shared" si="0"/>
        <v>12000</v>
      </c>
      <c r="H28" s="198">
        <v>93713.62</v>
      </c>
      <c r="I28" s="594">
        <f>[1]Assessor!$Z$33</f>
        <v>98853.830094000004</v>
      </c>
    </row>
    <row r="29" spans="1:11" s="651" customFormat="1" ht="12.75" x14ac:dyDescent="0.2">
      <c r="A29" s="652" t="s">
        <v>71</v>
      </c>
      <c r="B29" s="653"/>
      <c r="C29" s="654"/>
      <c r="D29" s="655">
        <f>SUM(D15:D28)</f>
        <v>1835861.6</v>
      </c>
      <c r="E29" s="655">
        <f t="shared" ref="E29:H29" si="1">SUM(E15:E28)</f>
        <v>1860509.3000000003</v>
      </c>
      <c r="F29" s="655">
        <f t="shared" si="1"/>
        <v>814134.12000000011</v>
      </c>
      <c r="G29" s="655">
        <f t="shared" si="1"/>
        <v>1018436.84</v>
      </c>
      <c r="H29" s="655">
        <f t="shared" si="1"/>
        <v>1832570.9600000004</v>
      </c>
      <c r="I29" s="655">
        <f>SUM(I15:I28)</f>
        <v>2395614.885094</v>
      </c>
      <c r="J29" s="656"/>
      <c r="K29" s="656"/>
    </row>
    <row r="30" spans="1:11" x14ac:dyDescent="0.25">
      <c r="A30" s="657" t="s">
        <v>14</v>
      </c>
      <c r="B30" s="658"/>
      <c r="C30" s="102"/>
      <c r="D30" s="102"/>
      <c r="E30" s="102"/>
      <c r="F30" s="102"/>
      <c r="G30" s="102"/>
      <c r="H30" s="102"/>
      <c r="I30" s="102"/>
    </row>
    <row r="31" spans="1:11" x14ac:dyDescent="0.25">
      <c r="A31" s="100"/>
      <c r="B31" s="172" t="s">
        <v>234</v>
      </c>
      <c r="C31" s="89" t="s">
        <v>92</v>
      </c>
      <c r="D31" s="594">
        <v>64500.32</v>
      </c>
      <c r="E31" s="79">
        <v>65000</v>
      </c>
      <c r="F31" s="79">
        <v>62588.9</v>
      </c>
      <c r="G31" s="594">
        <f>H31-F31</f>
        <v>6970.9999999999927</v>
      </c>
      <c r="H31" s="594">
        <v>69559.899999999994</v>
      </c>
      <c r="I31" s="79">
        <v>75000</v>
      </c>
    </row>
    <row r="32" spans="1:11" x14ac:dyDescent="0.25">
      <c r="A32" s="100"/>
      <c r="B32" s="172" t="s">
        <v>235</v>
      </c>
      <c r="C32" s="89" t="s">
        <v>93</v>
      </c>
      <c r="D32" s="594">
        <v>60150</v>
      </c>
      <c r="E32" s="79">
        <v>66000</v>
      </c>
      <c r="F32" s="79">
        <v>41278.300000000003</v>
      </c>
      <c r="G32" s="594">
        <f>H32-F32</f>
        <v>24470</v>
      </c>
      <c r="H32" s="594">
        <v>65748.3</v>
      </c>
      <c r="I32" s="79">
        <v>66000</v>
      </c>
    </row>
    <row r="33" spans="1:10" x14ac:dyDescent="0.25">
      <c r="A33" s="100"/>
      <c r="B33" s="172" t="s">
        <v>236</v>
      </c>
      <c r="C33" s="89" t="s">
        <v>94</v>
      </c>
      <c r="D33" s="594">
        <v>28689.64</v>
      </c>
      <c r="E33" s="79">
        <v>50000</v>
      </c>
      <c r="F33" s="79">
        <v>22449.21</v>
      </c>
      <c r="G33" s="594">
        <f>H33-F33</f>
        <v>8741.6500000000015</v>
      </c>
      <c r="H33" s="594">
        <v>31190.86</v>
      </c>
      <c r="I33" s="79">
        <v>32000</v>
      </c>
    </row>
    <row r="34" spans="1:10" x14ac:dyDescent="0.25">
      <c r="A34" s="100"/>
      <c r="B34" s="172" t="s">
        <v>268</v>
      </c>
      <c r="C34" s="89" t="s">
        <v>98</v>
      </c>
      <c r="D34" s="198"/>
      <c r="E34" s="198"/>
      <c r="F34" s="79"/>
      <c r="G34" s="594">
        <f>H34-F34</f>
        <v>0</v>
      </c>
      <c r="H34" s="198"/>
      <c r="I34" s="79">
        <f>7400</f>
        <v>7400</v>
      </c>
    </row>
    <row r="35" spans="1:10" x14ac:dyDescent="0.25">
      <c r="A35" s="100"/>
      <c r="B35" s="172" t="s">
        <v>237</v>
      </c>
      <c r="C35" s="89" t="s">
        <v>95</v>
      </c>
      <c r="D35" s="594"/>
      <c r="E35" s="79"/>
      <c r="F35" s="79">
        <v>4000</v>
      </c>
      <c r="G35" s="594">
        <f t="shared" ref="G35:G38" si="2">H35-F35</f>
        <v>14000</v>
      </c>
      <c r="H35" s="594">
        <v>18000</v>
      </c>
      <c r="I35" s="79">
        <v>24000</v>
      </c>
    </row>
    <row r="36" spans="1:10" x14ac:dyDescent="0.25">
      <c r="A36" s="100"/>
      <c r="B36" s="172" t="s">
        <v>255</v>
      </c>
      <c r="C36" s="89" t="s">
        <v>96</v>
      </c>
      <c r="D36" s="594">
        <v>109954</v>
      </c>
      <c r="E36" s="79"/>
      <c r="F36" s="79"/>
      <c r="G36" s="594">
        <f t="shared" si="2"/>
        <v>0</v>
      </c>
      <c r="H36" s="594"/>
      <c r="I36" s="79"/>
    </row>
    <row r="37" spans="1:10" x14ac:dyDescent="0.25">
      <c r="A37" s="100"/>
      <c r="B37" s="659" t="s">
        <v>240</v>
      </c>
      <c r="C37" s="89" t="s">
        <v>99</v>
      </c>
      <c r="D37" s="198"/>
      <c r="E37" s="79">
        <v>12500</v>
      </c>
      <c r="F37" s="79">
        <v>2189</v>
      </c>
      <c r="G37" s="594">
        <f t="shared" si="2"/>
        <v>0</v>
      </c>
      <c r="H37" s="594">
        <v>2189</v>
      </c>
      <c r="I37" s="79">
        <v>2200</v>
      </c>
    </row>
    <row r="38" spans="1:10" x14ac:dyDescent="0.25">
      <c r="A38" s="100"/>
      <c r="B38" s="659" t="s">
        <v>283</v>
      </c>
      <c r="C38" s="89" t="s">
        <v>137</v>
      </c>
      <c r="D38" s="198"/>
      <c r="E38" s="79">
        <v>16000</v>
      </c>
      <c r="F38" s="79"/>
      <c r="G38" s="594">
        <f t="shared" si="2"/>
        <v>2231.25</v>
      </c>
      <c r="H38" s="198">
        <v>2231.25</v>
      </c>
      <c r="I38" s="79">
        <f>2400</f>
        <v>2400</v>
      </c>
    </row>
    <row r="39" spans="1:10" x14ac:dyDescent="0.25">
      <c r="A39" s="657" t="s">
        <v>68</v>
      </c>
      <c r="B39" s="658"/>
      <c r="C39" s="660"/>
      <c r="D39" s="604">
        <f t="shared" ref="D39:H39" si="3">SUM(D31:D38)</f>
        <v>263293.96000000002</v>
      </c>
      <c r="E39" s="604">
        <f t="shared" si="3"/>
        <v>209500</v>
      </c>
      <c r="F39" s="604">
        <f t="shared" si="3"/>
        <v>132505.41</v>
      </c>
      <c r="G39" s="604">
        <f t="shared" si="3"/>
        <v>56413.899999999994</v>
      </c>
      <c r="H39" s="604">
        <f t="shared" si="3"/>
        <v>188919.31</v>
      </c>
      <c r="I39" s="604">
        <f>SUM(I31:I38)</f>
        <v>209000</v>
      </c>
    </row>
    <row r="40" spans="1:10" hidden="1" x14ac:dyDescent="0.25">
      <c r="A40" s="588"/>
      <c r="B40" s="658" t="s">
        <v>12</v>
      </c>
      <c r="C40" s="102"/>
      <c r="D40" s="102"/>
      <c r="E40" s="102"/>
      <c r="F40" s="102"/>
      <c r="G40" s="102"/>
      <c r="H40" s="102"/>
      <c r="I40" s="102"/>
    </row>
    <row r="41" spans="1:10" x14ac:dyDescent="0.25">
      <c r="A41" s="657" t="s">
        <v>13</v>
      </c>
      <c r="B41" s="658"/>
      <c r="C41" s="102"/>
      <c r="D41" s="102"/>
      <c r="E41" s="102"/>
      <c r="F41" s="102"/>
      <c r="G41" s="102"/>
      <c r="H41" s="102"/>
      <c r="I41" s="102"/>
    </row>
    <row r="42" spans="1:10" x14ac:dyDescent="0.25">
      <c r="A42" s="596"/>
      <c r="B42" s="172" t="s">
        <v>308</v>
      </c>
      <c r="C42" s="89" t="s">
        <v>133</v>
      </c>
      <c r="D42" s="102"/>
      <c r="E42" s="102"/>
      <c r="F42" s="102"/>
      <c r="G42" s="102"/>
      <c r="H42" s="102"/>
      <c r="I42" s="198">
        <v>100000</v>
      </c>
    </row>
    <row r="43" spans="1:10" x14ac:dyDescent="0.25">
      <c r="A43" s="661"/>
      <c r="B43" s="172" t="s">
        <v>243</v>
      </c>
      <c r="C43" s="336" t="s">
        <v>110</v>
      </c>
      <c r="D43" s="102"/>
      <c r="E43" s="102"/>
      <c r="F43" s="102"/>
      <c r="G43" s="102"/>
      <c r="H43" s="102"/>
      <c r="I43" s="198">
        <v>30000</v>
      </c>
    </row>
    <row r="44" spans="1:10" x14ac:dyDescent="0.25">
      <c r="A44" s="661"/>
      <c r="B44" s="172" t="s">
        <v>244</v>
      </c>
      <c r="C44" s="201" t="s">
        <v>108</v>
      </c>
      <c r="D44" s="102"/>
      <c r="E44" s="102"/>
      <c r="F44" s="102"/>
      <c r="G44" s="102"/>
      <c r="H44" s="102"/>
      <c r="I44" s="198">
        <v>20000</v>
      </c>
    </row>
    <row r="45" spans="1:10" x14ac:dyDescent="0.25">
      <c r="A45" s="661"/>
      <c r="B45" s="172" t="s">
        <v>245</v>
      </c>
      <c r="C45" s="201" t="s">
        <v>107</v>
      </c>
      <c r="D45" s="198">
        <v>22591.56</v>
      </c>
      <c r="E45" s="198">
        <v>0</v>
      </c>
      <c r="F45" s="198"/>
      <c r="G45" s="594">
        <f>H45-F45</f>
        <v>0</v>
      </c>
      <c r="H45" s="198"/>
      <c r="I45" s="198">
        <v>32000</v>
      </c>
    </row>
    <row r="46" spans="1:10" x14ac:dyDescent="0.25">
      <c r="A46" s="661"/>
      <c r="B46" s="662" t="s">
        <v>72</v>
      </c>
      <c r="C46" s="604"/>
      <c r="D46" s="604">
        <f>SUM(D43:D45)</f>
        <v>22591.56</v>
      </c>
      <c r="E46" s="604">
        <f t="shared" ref="E46:G46" si="4">SUM(E43:E45)</f>
        <v>0</v>
      </c>
      <c r="F46" s="604">
        <f t="shared" si="4"/>
        <v>0</v>
      </c>
      <c r="G46" s="604">
        <f t="shared" si="4"/>
        <v>0</v>
      </c>
      <c r="H46" s="604">
        <f>SUM(H43:H45)</f>
        <v>0</v>
      </c>
      <c r="I46" s="604">
        <f>SUM(I42:I45)</f>
        <v>182000</v>
      </c>
    </row>
    <row r="47" spans="1:10" s="651" customFormat="1" ht="12.75" x14ac:dyDescent="0.2">
      <c r="A47" s="663"/>
      <c r="B47" s="664" t="s">
        <v>20</v>
      </c>
      <c r="C47" s="665"/>
      <c r="D47" s="665">
        <f t="shared" ref="D47:I47" si="5">D29+D39+D46</f>
        <v>2121747.12</v>
      </c>
      <c r="E47" s="665">
        <f t="shared" si="5"/>
        <v>2070009.3000000003</v>
      </c>
      <c r="F47" s="665">
        <f t="shared" si="5"/>
        <v>946639.53000000014</v>
      </c>
      <c r="G47" s="665">
        <f t="shared" si="5"/>
        <v>1074850.74</v>
      </c>
      <c r="H47" s="665">
        <f t="shared" si="5"/>
        <v>2021490.2700000005</v>
      </c>
      <c r="I47" s="665">
        <f t="shared" si="5"/>
        <v>2786614.885094</v>
      </c>
      <c r="J47" s="656"/>
    </row>
    <row r="48" spans="1:10" x14ac:dyDescent="0.25">
      <c r="B48" s="150"/>
      <c r="C48" s="151"/>
      <c r="D48" s="152"/>
      <c r="E48" s="152"/>
      <c r="F48" s="152"/>
      <c r="G48" s="149"/>
      <c r="H48" s="149"/>
      <c r="I48" s="149"/>
    </row>
    <row r="49" spans="2:11" x14ac:dyDescent="0.25">
      <c r="B49" s="153" t="s">
        <v>22</v>
      </c>
      <c r="C49" s="36" t="s">
        <v>23</v>
      </c>
      <c r="D49" s="36"/>
      <c r="E49" s="36"/>
      <c r="F49" s="113"/>
      <c r="G49" s="36" t="s">
        <v>24</v>
      </c>
      <c r="H49" s="36"/>
      <c r="I49" s="36"/>
    </row>
    <row r="50" spans="2:11" x14ac:dyDescent="0.25">
      <c r="B50" s="36"/>
      <c r="C50" s="36"/>
      <c r="D50" s="36"/>
      <c r="E50" s="36"/>
      <c r="F50" s="113"/>
      <c r="G50" s="36"/>
      <c r="H50" s="36"/>
      <c r="I50" s="36"/>
    </row>
    <row r="51" spans="2:11" x14ac:dyDescent="0.25">
      <c r="B51" s="216" t="s">
        <v>53</v>
      </c>
      <c r="C51" s="1128" t="s">
        <v>51</v>
      </c>
      <c r="D51" s="1128"/>
      <c r="E51" s="1128"/>
      <c r="F51" s="1128"/>
      <c r="G51" s="1085" t="s">
        <v>117</v>
      </c>
      <c r="H51" s="1085"/>
      <c r="I51" s="1085"/>
      <c r="K51" s="593"/>
    </row>
    <row r="52" spans="2:11" x14ac:dyDescent="0.25">
      <c r="B52" s="206" t="s">
        <v>63</v>
      </c>
      <c r="C52" s="1070" t="s">
        <v>64</v>
      </c>
      <c r="D52" s="1070"/>
      <c r="E52" s="1070"/>
      <c r="F52" s="1070"/>
      <c r="G52" s="1070" t="s">
        <v>67</v>
      </c>
      <c r="H52" s="1070"/>
      <c r="I52" s="1070"/>
    </row>
    <row r="56" spans="2:11" x14ac:dyDescent="0.25">
      <c r="D56" s="157"/>
      <c r="E56" s="157"/>
      <c r="F56" s="157"/>
      <c r="G56" s="157"/>
      <c r="H56" s="157"/>
    </row>
    <row r="57" spans="2:11" x14ac:dyDescent="0.25">
      <c r="D57" s="157"/>
      <c r="E57" s="157"/>
      <c r="F57" s="157"/>
      <c r="G57" s="157"/>
      <c r="H57" s="157"/>
    </row>
  </sheetData>
  <sheetProtection algorithmName="SHA-512" hashValue="WDy+O7PKs04kdkpJqFFEHYhEhMKoecpYCbhTQha7++IZtegIIw6EK35DqRgDDQMMRZDL/2g4KMLX40pmbfOGqQ==" saltValue="sK12i6fRXaXrUSlPGxGong==" spinCount="100000" sheet="1" objects="1" scenarios="1" selectLockedCells="1" selectUnlockedCells="1"/>
  <mergeCells count="10">
    <mergeCell ref="A2:I2"/>
    <mergeCell ref="A3:I3"/>
    <mergeCell ref="C51:F51"/>
    <mergeCell ref="G51:I51"/>
    <mergeCell ref="C52:F52"/>
    <mergeCell ref="G52:I52"/>
    <mergeCell ref="B9:B10"/>
    <mergeCell ref="C9:C10"/>
    <mergeCell ref="F9:H9"/>
    <mergeCell ref="E9:E13"/>
  </mergeCells>
  <printOptions horizontalCentered="1"/>
  <pageMargins left="0" right="0" top="0.75" bottom="0" header="0" footer="0"/>
  <pageSetup paperSize="5" scale="70" orientation="portrait" r:id="rId1"/>
  <headerFooter>
    <oddHeader>&amp;R&amp;D   &amp;T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K71"/>
  <sheetViews>
    <sheetView topLeftCell="A52" zoomScaleNormal="100" workbookViewId="0">
      <selection activeCell="B70" sqref="B70"/>
    </sheetView>
  </sheetViews>
  <sheetFormatPr defaultRowHeight="15" x14ac:dyDescent="0.25"/>
  <cols>
    <col min="1" max="1" width="2.85546875" style="41" customWidth="1"/>
    <col min="2" max="2" width="47.140625" style="41" bestFit="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16.28515625" style="41" customWidth="1"/>
    <col min="11" max="11" width="14" style="41" bestFit="1" customWidth="1"/>
    <col min="12" max="16384" width="9.140625" style="41"/>
  </cols>
  <sheetData>
    <row r="1" spans="1:9" x14ac:dyDescent="0.25">
      <c r="A1" s="41" t="s">
        <v>9</v>
      </c>
      <c r="I1" s="41" t="s">
        <v>27</v>
      </c>
    </row>
    <row r="2" spans="1:9" ht="15" customHeight="1" x14ac:dyDescent="0.35">
      <c r="B2" s="121"/>
      <c r="C2" s="121"/>
      <c r="D2" s="121"/>
      <c r="E2" s="121"/>
      <c r="F2" s="121"/>
      <c r="G2" s="121"/>
      <c r="H2" s="121"/>
      <c r="I2" s="121"/>
    </row>
    <row r="3" spans="1:9" s="118" customFormat="1" ht="15" customHeight="1" x14ac:dyDescent="0.25">
      <c r="A3" s="1067" t="s">
        <v>10</v>
      </c>
      <c r="B3" s="1067"/>
      <c r="C3" s="1067"/>
      <c r="D3" s="1067"/>
      <c r="E3" s="1067"/>
      <c r="F3" s="1067"/>
      <c r="G3" s="1067"/>
      <c r="H3" s="1067"/>
      <c r="I3" s="1067"/>
    </row>
    <row r="4" spans="1:9" s="118" customFormat="1" ht="15" customHeight="1" x14ac:dyDescent="0.25">
      <c r="A4" s="1067" t="s">
        <v>47</v>
      </c>
      <c r="B4" s="1067"/>
      <c r="C4" s="1067"/>
      <c r="D4" s="1067"/>
      <c r="E4" s="1067"/>
      <c r="F4" s="1067"/>
      <c r="G4" s="1067"/>
      <c r="H4" s="1067"/>
      <c r="I4" s="1067"/>
    </row>
    <row r="5" spans="1:9" s="118" customFormat="1" ht="15" customHeight="1" x14ac:dyDescent="0.25">
      <c r="B5" s="586"/>
    </row>
    <row r="6" spans="1:9" s="118" customFormat="1" ht="15" customHeight="1" x14ac:dyDescent="0.25">
      <c r="A6" s="118" t="s">
        <v>151</v>
      </c>
    </row>
    <row r="7" spans="1:9" s="118" customFormat="1" ht="15" customHeight="1" x14ac:dyDescent="0.25">
      <c r="A7" s="118" t="s">
        <v>143</v>
      </c>
    </row>
    <row r="8" spans="1:9" s="118" customFormat="1" ht="15" customHeight="1" x14ac:dyDescent="0.25">
      <c r="A8" s="118" t="s">
        <v>144</v>
      </c>
    </row>
    <row r="9" spans="1:9" ht="15" customHeight="1" x14ac:dyDescent="0.35">
      <c r="B9" s="121"/>
      <c r="C9" s="121"/>
      <c r="D9" s="121"/>
      <c r="E9" s="121"/>
      <c r="F9" s="121"/>
      <c r="G9" s="121"/>
      <c r="H9" s="121"/>
      <c r="I9" s="121"/>
    </row>
    <row r="10" spans="1:9" x14ac:dyDescent="0.25">
      <c r="A10" s="617"/>
      <c r="B10" s="1125" t="s">
        <v>0</v>
      </c>
      <c r="C10" s="1120" t="s">
        <v>1</v>
      </c>
      <c r="D10" s="212" t="s">
        <v>2</v>
      </c>
      <c r="E10" s="1082" t="s">
        <v>105</v>
      </c>
      <c r="F10" s="1082" t="s">
        <v>8</v>
      </c>
      <c r="G10" s="1082"/>
      <c r="H10" s="1082"/>
      <c r="I10" s="212" t="s">
        <v>3</v>
      </c>
    </row>
    <row r="11" spans="1:9" ht="55.5" customHeight="1" x14ac:dyDescent="0.25">
      <c r="A11" s="588"/>
      <c r="B11" s="1127"/>
      <c r="C11" s="1121"/>
      <c r="D11" s="213" t="s">
        <v>4</v>
      </c>
      <c r="E11" s="1083"/>
      <c r="F11" s="618" t="s">
        <v>42</v>
      </c>
      <c r="G11" s="618" t="s">
        <v>41</v>
      </c>
      <c r="H11" s="212" t="s">
        <v>5</v>
      </c>
      <c r="I11" s="213" t="s">
        <v>6</v>
      </c>
    </row>
    <row r="12" spans="1:9" x14ac:dyDescent="0.25">
      <c r="A12" s="588"/>
      <c r="B12" s="589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9" x14ac:dyDescent="0.25">
      <c r="A13" s="588"/>
      <c r="B13" s="589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590"/>
      <c r="B14" s="132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591" t="s">
        <v>11</v>
      </c>
      <c r="B15" s="591"/>
      <c r="C15" s="212"/>
      <c r="D15" s="212"/>
      <c r="E15" s="212"/>
      <c r="F15" s="212"/>
      <c r="G15" s="212"/>
      <c r="H15" s="212"/>
      <c r="I15" s="212"/>
    </row>
    <row r="16" spans="1:9" x14ac:dyDescent="0.25">
      <c r="A16" s="100"/>
      <c r="B16" s="105" t="s">
        <v>219</v>
      </c>
      <c r="C16" s="89" t="s">
        <v>73</v>
      </c>
      <c r="D16" s="98">
        <v>2466370.27</v>
      </c>
      <c r="E16" s="98">
        <v>3096804</v>
      </c>
      <c r="F16" s="98">
        <v>1441232.47</v>
      </c>
      <c r="G16" s="594">
        <f>H16-F16</f>
        <v>1568353.24</v>
      </c>
      <c r="H16" s="98">
        <v>3009585.71</v>
      </c>
      <c r="I16" s="550">
        <f>[1]MHO!$L$42</f>
        <v>3566736</v>
      </c>
    </row>
    <row r="17" spans="1:10" x14ac:dyDescent="0.25">
      <c r="A17" s="100"/>
      <c r="B17" s="105" t="s">
        <v>220</v>
      </c>
      <c r="C17" s="89" t="s">
        <v>86</v>
      </c>
      <c r="D17" s="98">
        <v>100449.09</v>
      </c>
      <c r="E17" s="98">
        <v>100640</v>
      </c>
      <c r="F17" s="98">
        <v>33840</v>
      </c>
      <c r="G17" s="594">
        <f t="shared" ref="G17:G33" si="0">H17-F17</f>
        <v>155540</v>
      </c>
      <c r="H17" s="98">
        <v>189380</v>
      </c>
      <c r="I17" s="98">
        <f>[1]MHO!$M$42</f>
        <v>100640</v>
      </c>
    </row>
    <row r="18" spans="1:10" x14ac:dyDescent="0.25">
      <c r="A18" s="100"/>
      <c r="B18" s="538" t="s">
        <v>221</v>
      </c>
      <c r="C18" s="184" t="s">
        <v>74</v>
      </c>
      <c r="D18" s="98">
        <v>190500</v>
      </c>
      <c r="E18" s="98">
        <v>216000</v>
      </c>
      <c r="F18" s="98">
        <v>97532.26</v>
      </c>
      <c r="G18" s="594">
        <f t="shared" si="0"/>
        <v>106500.00000000001</v>
      </c>
      <c r="H18" s="98">
        <v>204032.26</v>
      </c>
      <c r="I18" s="550">
        <f>[1]MHO!$N$42</f>
        <v>240000</v>
      </c>
    </row>
    <row r="19" spans="1:10" x14ac:dyDescent="0.25">
      <c r="A19" s="100"/>
      <c r="B19" s="538" t="s">
        <v>224</v>
      </c>
      <c r="C19" s="184" t="s">
        <v>75</v>
      </c>
      <c r="D19" s="98">
        <v>67500</v>
      </c>
      <c r="E19" s="98">
        <v>67500</v>
      </c>
      <c r="F19" s="98">
        <v>33750</v>
      </c>
      <c r="G19" s="594">
        <f t="shared" si="0"/>
        <v>33750</v>
      </c>
      <c r="H19" s="98">
        <v>67500</v>
      </c>
      <c r="I19" s="550">
        <f>[1]MHO!$O$42</f>
        <v>67500</v>
      </c>
    </row>
    <row r="20" spans="1:10" x14ac:dyDescent="0.25">
      <c r="A20" s="100"/>
      <c r="B20" s="538" t="s">
        <v>223</v>
      </c>
      <c r="C20" s="184" t="s">
        <v>76</v>
      </c>
      <c r="D20" s="98">
        <v>67500</v>
      </c>
      <c r="E20" s="98">
        <v>67500</v>
      </c>
      <c r="F20" s="98">
        <v>33750</v>
      </c>
      <c r="G20" s="594">
        <f t="shared" si="0"/>
        <v>33750</v>
      </c>
      <c r="H20" s="98">
        <v>67500</v>
      </c>
      <c r="I20" s="550">
        <f>[1]MHO!$P$42</f>
        <v>67500</v>
      </c>
    </row>
    <row r="21" spans="1:10" x14ac:dyDescent="0.25">
      <c r="A21" s="100"/>
      <c r="B21" s="538" t="s">
        <v>222</v>
      </c>
      <c r="C21" s="184" t="s">
        <v>77</v>
      </c>
      <c r="D21" s="98">
        <v>45000</v>
      </c>
      <c r="E21" s="98">
        <v>45000</v>
      </c>
      <c r="F21" s="98"/>
      <c r="G21" s="594">
        <f t="shared" si="0"/>
        <v>40000</v>
      </c>
      <c r="H21" s="98">
        <v>40000</v>
      </c>
      <c r="I21" s="550">
        <f>[1]MHO!$Q$42</f>
        <v>60000</v>
      </c>
    </row>
    <row r="22" spans="1:10" x14ac:dyDescent="0.25">
      <c r="A22" s="100"/>
      <c r="B22" s="538" t="s">
        <v>285</v>
      </c>
      <c r="C22" s="184" t="s">
        <v>89</v>
      </c>
      <c r="D22" s="666">
        <v>172800</v>
      </c>
      <c r="E22" s="666">
        <v>172800</v>
      </c>
      <c r="F22" s="666">
        <v>86400</v>
      </c>
      <c r="G22" s="594">
        <f t="shared" si="0"/>
        <v>86400</v>
      </c>
      <c r="H22" s="666">
        <v>172800</v>
      </c>
      <c r="I22" s="667">
        <f>[1]MHO!$AA$42</f>
        <v>172800</v>
      </c>
    </row>
    <row r="23" spans="1:10" x14ac:dyDescent="0.25">
      <c r="A23" s="100"/>
      <c r="B23" s="538" t="s">
        <v>291</v>
      </c>
      <c r="C23" s="184" t="s">
        <v>90</v>
      </c>
      <c r="D23" s="666">
        <v>16200</v>
      </c>
      <c r="E23" s="666">
        <v>16200</v>
      </c>
      <c r="F23" s="666">
        <v>8100</v>
      </c>
      <c r="G23" s="594">
        <f t="shared" si="0"/>
        <v>8100</v>
      </c>
      <c r="H23" s="666">
        <v>16200</v>
      </c>
      <c r="I23" s="667">
        <f>[1]MHO!$AC$42</f>
        <v>16200</v>
      </c>
    </row>
    <row r="24" spans="1:10" ht="15" customHeight="1" x14ac:dyDescent="0.25">
      <c r="A24" s="100"/>
      <c r="B24" s="538" t="s">
        <v>225</v>
      </c>
      <c r="C24" s="184" t="s">
        <v>78</v>
      </c>
      <c r="D24" s="98">
        <v>42000</v>
      </c>
      <c r="E24" s="98">
        <v>45000</v>
      </c>
      <c r="F24" s="98"/>
      <c r="G24" s="594">
        <f t="shared" si="0"/>
        <v>45000</v>
      </c>
      <c r="H24" s="98">
        <v>45000</v>
      </c>
      <c r="I24" s="550">
        <f>[1]MHO!$R$42</f>
        <v>50000</v>
      </c>
    </row>
    <row r="25" spans="1:10" x14ac:dyDescent="0.25">
      <c r="A25" s="100"/>
      <c r="B25" s="538" t="s">
        <v>286</v>
      </c>
      <c r="C25" s="184" t="s">
        <v>91</v>
      </c>
      <c r="D25" s="666">
        <v>345577.25</v>
      </c>
      <c r="E25" s="666">
        <v>346044</v>
      </c>
      <c r="F25" s="666">
        <v>127375.75</v>
      </c>
      <c r="G25" s="594">
        <f t="shared" si="0"/>
        <v>238946.75</v>
      </c>
      <c r="H25" s="666">
        <v>366322.5</v>
      </c>
      <c r="I25" s="667">
        <f>[1]MHO!$AB$42</f>
        <v>392340.96</v>
      </c>
    </row>
    <row r="26" spans="1:10" x14ac:dyDescent="0.25">
      <c r="A26" s="100"/>
      <c r="B26" s="538" t="s">
        <v>226</v>
      </c>
      <c r="C26" s="184" t="s">
        <v>80</v>
      </c>
      <c r="D26" s="98">
        <f>242654+236456.2</f>
        <v>479110.2</v>
      </c>
      <c r="E26" s="98">
        <f>261365*2</f>
        <v>522730</v>
      </c>
      <c r="F26" s="98">
        <f>244209</f>
        <v>244209</v>
      </c>
      <c r="G26" s="594">
        <f t="shared" si="0"/>
        <v>257822</v>
      </c>
      <c r="H26" s="98">
        <f>257822+244209</f>
        <v>502031</v>
      </c>
      <c r="I26" s="550">
        <f>[1]MHO!$S$42</f>
        <v>594456</v>
      </c>
    </row>
    <row r="27" spans="1:10" x14ac:dyDescent="0.25">
      <c r="A27" s="100"/>
      <c r="B27" s="538" t="s">
        <v>227</v>
      </c>
      <c r="C27" s="184" t="s">
        <v>79</v>
      </c>
      <c r="D27" s="98">
        <v>44000</v>
      </c>
      <c r="E27" s="98">
        <v>45000</v>
      </c>
      <c r="F27" s="98"/>
      <c r="G27" s="594">
        <f t="shared" si="0"/>
        <v>45000</v>
      </c>
      <c r="H27" s="98">
        <v>45000</v>
      </c>
      <c r="I27" s="550">
        <f>[1]MHO!$T$42</f>
        <v>50000</v>
      </c>
    </row>
    <row r="28" spans="1:10" x14ac:dyDescent="0.25">
      <c r="A28" s="100"/>
      <c r="B28" s="538" t="s">
        <v>228</v>
      </c>
      <c r="C28" s="184" t="s">
        <v>81</v>
      </c>
      <c r="D28" s="98">
        <v>238331.12</v>
      </c>
      <c r="E28" s="98">
        <v>376365.6</v>
      </c>
      <c r="F28" s="98">
        <v>174698.64</v>
      </c>
      <c r="G28" s="594">
        <f t="shared" si="0"/>
        <v>189531.05</v>
      </c>
      <c r="H28" s="98">
        <v>364229.69</v>
      </c>
      <c r="I28" s="550">
        <f>[1]MHO!$U$42</f>
        <v>428008.31999999995</v>
      </c>
      <c r="J28" s="668"/>
    </row>
    <row r="29" spans="1:10" x14ac:dyDescent="0.25">
      <c r="A29" s="100"/>
      <c r="B29" s="538" t="s">
        <v>229</v>
      </c>
      <c r="C29" s="184" t="s">
        <v>82</v>
      </c>
      <c r="D29" s="98">
        <v>7400</v>
      </c>
      <c r="E29" s="98">
        <v>10800</v>
      </c>
      <c r="F29" s="98">
        <v>5200</v>
      </c>
      <c r="G29" s="594">
        <f t="shared" si="0"/>
        <v>5400</v>
      </c>
      <c r="H29" s="98">
        <v>10600</v>
      </c>
      <c r="I29" s="550">
        <f>[1]MHO!$V$42</f>
        <v>12000</v>
      </c>
    </row>
    <row r="30" spans="1:10" x14ac:dyDescent="0.25">
      <c r="A30" s="100"/>
      <c r="B30" s="538" t="s">
        <v>230</v>
      </c>
      <c r="C30" s="184" t="s">
        <v>83</v>
      </c>
      <c r="D30" s="98">
        <v>26225</v>
      </c>
      <c r="E30" s="98">
        <v>28650</v>
      </c>
      <c r="F30" s="98">
        <v>14796.91</v>
      </c>
      <c r="G30" s="594">
        <f t="shared" si="0"/>
        <v>17936.5</v>
      </c>
      <c r="H30" s="98">
        <v>32733.41</v>
      </c>
      <c r="I30" s="550">
        <f>[1]MHO!$W$42</f>
        <v>40720.184999999998</v>
      </c>
    </row>
    <row r="31" spans="1:10" x14ac:dyDescent="0.25">
      <c r="A31" s="100"/>
      <c r="B31" s="538" t="s">
        <v>231</v>
      </c>
      <c r="C31" s="184" t="s">
        <v>84</v>
      </c>
      <c r="D31" s="98">
        <v>7400</v>
      </c>
      <c r="E31" s="98">
        <v>23522.76</v>
      </c>
      <c r="F31" s="98">
        <v>5200</v>
      </c>
      <c r="G31" s="594">
        <f t="shared" si="0"/>
        <v>5400</v>
      </c>
      <c r="H31" s="98">
        <v>10600</v>
      </c>
      <c r="I31" s="550">
        <f>[1]MHO!$X$42</f>
        <v>35667.360000000001</v>
      </c>
    </row>
    <row r="32" spans="1:10" x14ac:dyDescent="0.25">
      <c r="A32" s="100"/>
      <c r="B32" s="538" t="s">
        <v>232</v>
      </c>
      <c r="C32" s="184" t="s">
        <v>87</v>
      </c>
      <c r="D32" s="198">
        <v>200000</v>
      </c>
      <c r="E32" s="198">
        <v>200000</v>
      </c>
      <c r="F32" s="98">
        <v>102694.45</v>
      </c>
      <c r="G32" s="594">
        <f t="shared" si="0"/>
        <v>0</v>
      </c>
      <c r="H32" s="98">
        <v>102694.45</v>
      </c>
      <c r="I32" s="98">
        <f>[1]MHO!$Y$42</f>
        <v>200000</v>
      </c>
    </row>
    <row r="33" spans="1:11" x14ac:dyDescent="0.25">
      <c r="A33" s="669"/>
      <c r="B33" s="670" t="s">
        <v>233</v>
      </c>
      <c r="C33" s="671" t="s">
        <v>85</v>
      </c>
      <c r="D33" s="672">
        <v>213532.21</v>
      </c>
      <c r="E33" s="672">
        <v>251917.7</v>
      </c>
      <c r="F33" s="672">
        <v>160368.43</v>
      </c>
      <c r="G33" s="673">
        <f t="shared" si="0"/>
        <v>24000</v>
      </c>
      <c r="H33" s="672">
        <v>184368.43</v>
      </c>
      <c r="I33" s="673">
        <f>[1]MHO!$Z$42</f>
        <v>295280.57079599996</v>
      </c>
    </row>
    <row r="34" spans="1:11" s="679" customFormat="1" ht="12.75" x14ac:dyDescent="0.2">
      <c r="A34" s="674" t="s">
        <v>71</v>
      </c>
      <c r="B34" s="675"/>
      <c r="C34" s="676"/>
      <c r="D34" s="677">
        <f>SUM(D16:D33)</f>
        <v>4729895.1399999997</v>
      </c>
      <c r="E34" s="677">
        <f t="shared" ref="E34:H34" si="1">SUM(E16:E33)</f>
        <v>5632474.0599999996</v>
      </c>
      <c r="F34" s="677">
        <f>SUM(F16:F33)</f>
        <v>2569147.9100000006</v>
      </c>
      <c r="G34" s="677">
        <f t="shared" si="1"/>
        <v>2861429.54</v>
      </c>
      <c r="H34" s="677">
        <f t="shared" si="1"/>
        <v>5430577.4500000002</v>
      </c>
      <c r="I34" s="492">
        <f>SUM(I16:I33)</f>
        <v>6389849.395796</v>
      </c>
      <c r="J34" s="678"/>
      <c r="K34" s="678"/>
    </row>
    <row r="35" spans="1:11" x14ac:dyDescent="0.25">
      <c r="A35" s="623" t="s">
        <v>14</v>
      </c>
      <c r="B35" s="597"/>
      <c r="C35" s="130"/>
      <c r="D35" s="130"/>
      <c r="E35" s="130"/>
      <c r="F35" s="130"/>
      <c r="G35" s="130"/>
      <c r="H35" s="130"/>
      <c r="I35" s="130"/>
    </row>
    <row r="36" spans="1:11" x14ac:dyDescent="0.25">
      <c r="A36" s="100"/>
      <c r="B36" s="105" t="s">
        <v>234</v>
      </c>
      <c r="C36" s="89" t="s">
        <v>92</v>
      </c>
      <c r="D36" s="594">
        <v>315694.5</v>
      </c>
      <c r="E36" s="79">
        <v>299800</v>
      </c>
      <c r="F36" s="594">
        <v>117516</v>
      </c>
      <c r="G36" s="594">
        <f>H36-F36</f>
        <v>133770.43</v>
      </c>
      <c r="H36" s="594">
        <v>251286.43</v>
      </c>
      <c r="I36" s="79">
        <v>300000</v>
      </c>
    </row>
    <row r="37" spans="1:11" x14ac:dyDescent="0.25">
      <c r="A37" s="100"/>
      <c r="B37" s="105" t="s">
        <v>235</v>
      </c>
      <c r="C37" s="89" t="s">
        <v>93</v>
      </c>
      <c r="D37" s="594">
        <v>49840</v>
      </c>
      <c r="E37" s="79">
        <v>50000</v>
      </c>
      <c r="F37" s="594"/>
      <c r="G37" s="594">
        <f>H37-F37</f>
        <v>66450</v>
      </c>
      <c r="H37" s="594">
        <v>66450</v>
      </c>
      <c r="I37" s="79">
        <v>80000</v>
      </c>
    </row>
    <row r="38" spans="1:11" x14ac:dyDescent="0.25">
      <c r="A38" s="100"/>
      <c r="B38" s="105" t="s">
        <v>236</v>
      </c>
      <c r="C38" s="89" t="s">
        <v>94</v>
      </c>
      <c r="D38" s="594">
        <v>53517.93</v>
      </c>
      <c r="E38" s="79">
        <v>67000</v>
      </c>
      <c r="F38" s="79"/>
      <c r="G38" s="594">
        <f>H38-F38</f>
        <v>67241.61</v>
      </c>
      <c r="H38" s="594">
        <v>67241.61</v>
      </c>
      <c r="I38" s="79">
        <v>68000</v>
      </c>
    </row>
    <row r="39" spans="1:11" x14ac:dyDescent="0.25">
      <c r="A39" s="100"/>
      <c r="B39" s="105" t="s">
        <v>268</v>
      </c>
      <c r="C39" s="89" t="s">
        <v>98</v>
      </c>
      <c r="D39" s="594"/>
      <c r="E39" s="79"/>
      <c r="F39" s="79"/>
      <c r="G39" s="594">
        <f>H39-F39</f>
        <v>0</v>
      </c>
      <c r="H39" s="594"/>
      <c r="I39" s="79">
        <v>120000</v>
      </c>
    </row>
    <row r="40" spans="1:11" x14ac:dyDescent="0.25">
      <c r="A40" s="100"/>
      <c r="B40" s="105" t="s">
        <v>237</v>
      </c>
      <c r="C40" s="89" t="s">
        <v>95</v>
      </c>
      <c r="D40" s="594"/>
      <c r="E40" s="79">
        <v>18000</v>
      </c>
      <c r="F40" s="79">
        <v>4000</v>
      </c>
      <c r="G40" s="594">
        <f t="shared" ref="G40:G48" si="2">H40-F40</f>
        <v>14000</v>
      </c>
      <c r="H40" s="594">
        <v>18000</v>
      </c>
      <c r="I40" s="79">
        <v>24000</v>
      </c>
    </row>
    <row r="41" spans="1:11" x14ac:dyDescent="0.25">
      <c r="A41" s="100"/>
      <c r="B41" s="105" t="s">
        <v>255</v>
      </c>
      <c r="C41" s="89" t="s">
        <v>96</v>
      </c>
      <c r="D41" s="594">
        <v>99761.51</v>
      </c>
      <c r="E41" s="79">
        <v>100000</v>
      </c>
      <c r="F41" s="79">
        <v>38100</v>
      </c>
      <c r="G41" s="594">
        <f t="shared" si="2"/>
        <v>61347.7</v>
      </c>
      <c r="H41" s="594">
        <v>99447.7</v>
      </c>
      <c r="I41" s="79">
        <v>100000</v>
      </c>
    </row>
    <row r="42" spans="1:11" x14ac:dyDescent="0.25">
      <c r="A42" s="100"/>
      <c r="B42" s="105" t="s">
        <v>240</v>
      </c>
      <c r="C42" s="89" t="s">
        <v>99</v>
      </c>
      <c r="D42" s="594">
        <v>20706.89</v>
      </c>
      <c r="E42" s="79">
        <v>20000</v>
      </c>
      <c r="F42" s="594">
        <v>6200</v>
      </c>
      <c r="G42" s="594">
        <f t="shared" si="2"/>
        <v>5700</v>
      </c>
      <c r="H42" s="594">
        <v>11900</v>
      </c>
      <c r="I42" s="79">
        <v>20000</v>
      </c>
    </row>
    <row r="43" spans="1:11" x14ac:dyDescent="0.25">
      <c r="A43" s="100"/>
      <c r="B43" s="105" t="s">
        <v>283</v>
      </c>
      <c r="C43" s="89" t="s">
        <v>137</v>
      </c>
      <c r="D43" s="594"/>
      <c r="E43" s="79"/>
      <c r="F43" s="79"/>
      <c r="G43" s="594">
        <f t="shared" si="2"/>
        <v>0</v>
      </c>
      <c r="H43" s="594"/>
      <c r="I43" s="79">
        <v>50000</v>
      </c>
    </row>
    <row r="44" spans="1:11" x14ac:dyDescent="0.25">
      <c r="A44" s="100"/>
      <c r="B44" s="598" t="s">
        <v>292</v>
      </c>
      <c r="C44" s="336" t="s">
        <v>140</v>
      </c>
      <c r="D44" s="594">
        <v>199740</v>
      </c>
      <c r="E44" s="680"/>
      <c r="F44" s="594"/>
      <c r="G44" s="594">
        <f t="shared" si="2"/>
        <v>0</v>
      </c>
      <c r="H44" s="594"/>
      <c r="I44" s="680">
        <v>100000</v>
      </c>
    </row>
    <row r="45" spans="1:11" x14ac:dyDescent="0.25">
      <c r="A45" s="100"/>
      <c r="B45" s="538" t="s">
        <v>293</v>
      </c>
      <c r="C45" s="336" t="s">
        <v>128</v>
      </c>
      <c r="D45" s="594">
        <v>15500</v>
      </c>
      <c r="E45" s="681">
        <v>30000</v>
      </c>
      <c r="F45" s="79"/>
      <c r="G45" s="594">
        <f t="shared" si="2"/>
        <v>21500</v>
      </c>
      <c r="H45" s="594">
        <v>21500</v>
      </c>
      <c r="I45" s="681">
        <v>30000</v>
      </c>
    </row>
    <row r="46" spans="1:11" x14ac:dyDescent="0.25">
      <c r="A46" s="100"/>
      <c r="B46" s="598" t="s">
        <v>294</v>
      </c>
      <c r="C46" s="336" t="s">
        <v>128</v>
      </c>
      <c r="D46" s="594">
        <v>826980</v>
      </c>
      <c r="E46" s="560"/>
      <c r="F46" s="594"/>
      <c r="G46" s="594">
        <f t="shared" si="2"/>
        <v>0</v>
      </c>
      <c r="H46" s="594"/>
      <c r="I46" s="560"/>
    </row>
    <row r="47" spans="1:11" x14ac:dyDescent="0.25">
      <c r="A47" s="100"/>
      <c r="B47" s="598" t="s">
        <v>295</v>
      </c>
      <c r="C47" s="336" t="s">
        <v>128</v>
      </c>
      <c r="D47" s="594">
        <v>148900</v>
      </c>
      <c r="E47" s="680"/>
      <c r="F47" s="594"/>
      <c r="G47" s="594">
        <f t="shared" si="2"/>
        <v>0</v>
      </c>
      <c r="H47" s="594"/>
      <c r="I47" s="680"/>
    </row>
    <row r="48" spans="1:11" x14ac:dyDescent="0.25">
      <c r="A48" s="100"/>
      <c r="B48" s="598" t="s">
        <v>296</v>
      </c>
      <c r="C48" s="168" t="s">
        <v>284</v>
      </c>
      <c r="D48" s="594">
        <v>191280</v>
      </c>
      <c r="E48" s="680"/>
      <c r="F48" s="594"/>
      <c r="G48" s="594">
        <f t="shared" si="2"/>
        <v>0</v>
      </c>
      <c r="H48" s="594"/>
      <c r="I48" s="680"/>
    </row>
    <row r="49" spans="1:11" x14ac:dyDescent="0.25">
      <c r="A49" s="100"/>
      <c r="B49" s="598" t="s">
        <v>297</v>
      </c>
      <c r="C49" s="336"/>
      <c r="D49" s="594">
        <v>63860</v>
      </c>
      <c r="E49" s="680"/>
      <c r="F49" s="594"/>
      <c r="G49" s="594">
        <f t="shared" ref="G49:G50" si="3">H49-F49</f>
        <v>0</v>
      </c>
      <c r="H49" s="594"/>
      <c r="I49" s="680">
        <v>50000</v>
      </c>
    </row>
    <row r="50" spans="1:11" x14ac:dyDescent="0.25">
      <c r="A50" s="100"/>
      <c r="B50" s="598" t="s">
        <v>298</v>
      </c>
      <c r="C50" s="336" t="s">
        <v>141</v>
      </c>
      <c r="D50" s="198"/>
      <c r="E50" s="681">
        <v>100000</v>
      </c>
      <c r="F50" s="79">
        <v>100000</v>
      </c>
      <c r="G50" s="594">
        <f t="shared" si="3"/>
        <v>0</v>
      </c>
      <c r="H50" s="594">
        <v>100000</v>
      </c>
      <c r="I50" s="681">
        <v>100000</v>
      </c>
    </row>
    <row r="51" spans="1:11" x14ac:dyDescent="0.25">
      <c r="A51" s="100"/>
      <c r="B51" s="598" t="s">
        <v>299</v>
      </c>
      <c r="C51" s="336"/>
      <c r="D51" s="594"/>
      <c r="E51" s="680"/>
      <c r="F51" s="594"/>
      <c r="G51" s="594"/>
      <c r="H51" s="594"/>
      <c r="I51" s="680">
        <v>250000</v>
      </c>
    </row>
    <row r="52" spans="1:11" x14ac:dyDescent="0.25">
      <c r="A52" s="669"/>
      <c r="B52" s="599" t="s">
        <v>300</v>
      </c>
      <c r="C52" s="502"/>
      <c r="D52" s="202"/>
      <c r="E52" s="682"/>
      <c r="F52" s="600"/>
      <c r="G52" s="601"/>
      <c r="H52" s="601"/>
      <c r="I52" s="682">
        <v>100000</v>
      </c>
      <c r="J52" s="593"/>
    </row>
    <row r="53" spans="1:11" s="651" customFormat="1" ht="12.75" x14ac:dyDescent="0.2">
      <c r="A53" s="683" t="s">
        <v>68</v>
      </c>
      <c r="B53" s="684"/>
      <c r="C53" s="676"/>
      <c r="D53" s="492">
        <f t="shared" ref="D53:G53" si="4">SUM(D36:D52)</f>
        <v>1985780.83</v>
      </c>
      <c r="E53" s="492">
        <f t="shared" si="4"/>
        <v>684800</v>
      </c>
      <c r="F53" s="492">
        <f t="shared" si="4"/>
        <v>265816</v>
      </c>
      <c r="G53" s="492">
        <f t="shared" si="4"/>
        <v>370009.74</v>
      </c>
      <c r="H53" s="492">
        <f>SUM(H36:H52)</f>
        <v>635825.74</v>
      </c>
      <c r="I53" s="492">
        <f>SUM(I36:I52)</f>
        <v>1392000</v>
      </c>
      <c r="J53" s="656"/>
      <c r="K53" s="656"/>
    </row>
    <row r="54" spans="1:11" x14ac:dyDescent="0.25">
      <c r="A54" s="685" t="s">
        <v>26</v>
      </c>
      <c r="B54" s="686"/>
      <c r="C54" s="687"/>
      <c r="D54" s="688"/>
      <c r="E54" s="688">
        <v>182000</v>
      </c>
      <c r="F54" s="147"/>
      <c r="G54" s="147"/>
      <c r="H54" s="147"/>
      <c r="I54" s="147"/>
      <c r="J54" s="593"/>
    </row>
    <row r="55" spans="1:11" x14ac:dyDescent="0.25">
      <c r="A55" s="689"/>
      <c r="B55" s="690" t="s">
        <v>243</v>
      </c>
      <c r="C55" s="691" t="s">
        <v>110</v>
      </c>
      <c r="D55" s="692"/>
      <c r="E55" s="692"/>
      <c r="F55" s="692"/>
      <c r="G55" s="692"/>
      <c r="H55" s="692"/>
      <c r="I55" s="692"/>
    </row>
    <row r="56" spans="1:11" x14ac:dyDescent="0.25">
      <c r="A56" s="100"/>
      <c r="B56" s="105" t="s">
        <v>244</v>
      </c>
      <c r="C56" s="201" t="s">
        <v>108</v>
      </c>
      <c r="D56" s="604"/>
      <c r="E56" s="604"/>
      <c r="F56" s="604"/>
      <c r="G56" s="604"/>
      <c r="H56" s="604"/>
      <c r="I56" s="604"/>
    </row>
    <row r="57" spans="1:11" x14ac:dyDescent="0.25">
      <c r="A57" s="100"/>
      <c r="B57" s="105" t="s">
        <v>245</v>
      </c>
      <c r="C57" s="201" t="s">
        <v>107</v>
      </c>
      <c r="D57" s="604"/>
      <c r="E57" s="604"/>
      <c r="F57" s="604"/>
      <c r="G57" s="604"/>
      <c r="H57" s="604"/>
      <c r="I57" s="604"/>
    </row>
    <row r="58" spans="1:11" x14ac:dyDescent="0.25">
      <c r="A58" s="693" t="s">
        <v>72</v>
      </c>
      <c r="B58" s="694"/>
      <c r="C58" s="605"/>
      <c r="D58" s="605">
        <f>SUM(D54:D57)</f>
        <v>0</v>
      </c>
      <c r="E58" s="605">
        <f t="shared" ref="E58:I58" si="5">SUM(E54:E57)</f>
        <v>182000</v>
      </c>
      <c r="F58" s="605">
        <f t="shared" si="5"/>
        <v>0</v>
      </c>
      <c r="G58" s="605">
        <f t="shared" si="5"/>
        <v>0</v>
      </c>
      <c r="H58" s="605">
        <f t="shared" si="5"/>
        <v>0</v>
      </c>
      <c r="I58" s="605">
        <f t="shared" si="5"/>
        <v>0</v>
      </c>
    </row>
    <row r="59" spans="1:11" s="651" customFormat="1" ht="12.75" x14ac:dyDescent="0.2">
      <c r="A59" s="493" t="s">
        <v>20</v>
      </c>
      <c r="B59" s="493"/>
      <c r="C59" s="676"/>
      <c r="D59" s="528">
        <f t="shared" ref="D59:H59" si="6">D34+D53+D58</f>
        <v>6715675.9699999997</v>
      </c>
      <c r="E59" s="528">
        <f t="shared" si="6"/>
        <v>6499274.0599999996</v>
      </c>
      <c r="F59" s="528">
        <f t="shared" si="6"/>
        <v>2834963.9100000006</v>
      </c>
      <c r="G59" s="528">
        <f t="shared" si="6"/>
        <v>3231439.2800000003</v>
      </c>
      <c r="H59" s="528">
        <f t="shared" si="6"/>
        <v>6066403.1900000004</v>
      </c>
      <c r="I59" s="528">
        <f>I34+I53+I58</f>
        <v>7781849.395796</v>
      </c>
      <c r="J59" s="656"/>
    </row>
    <row r="60" spans="1:11" x14ac:dyDescent="0.25">
      <c r="B60" s="150"/>
      <c r="C60" s="151"/>
      <c r="D60" s="152"/>
      <c r="E60" s="152"/>
      <c r="F60" s="152"/>
      <c r="G60" s="149"/>
      <c r="H60" s="149"/>
      <c r="I60" s="149"/>
    </row>
    <row r="61" spans="1:11" x14ac:dyDescent="0.25">
      <c r="B61" s="153" t="s">
        <v>22</v>
      </c>
      <c r="C61" s="36" t="s">
        <v>23</v>
      </c>
      <c r="D61" s="36"/>
      <c r="E61" s="36"/>
      <c r="F61" s="113"/>
      <c r="G61" s="36" t="s">
        <v>24</v>
      </c>
      <c r="H61" s="36"/>
      <c r="I61" s="36"/>
    </row>
    <row r="62" spans="1:11" x14ac:dyDescent="0.25">
      <c r="B62" s="36"/>
      <c r="C62" s="36"/>
      <c r="D62" s="36"/>
      <c r="E62" s="36"/>
      <c r="F62" s="113"/>
      <c r="G62" s="36"/>
      <c r="H62" s="36"/>
      <c r="I62" s="36"/>
    </row>
    <row r="63" spans="1:11" x14ac:dyDescent="0.25">
      <c r="B63" s="216" t="s">
        <v>54</v>
      </c>
      <c r="C63" s="1128" t="s">
        <v>51</v>
      </c>
      <c r="D63" s="1128"/>
      <c r="E63" s="1128"/>
      <c r="F63" s="1128"/>
      <c r="G63" s="1085" t="s">
        <v>117</v>
      </c>
      <c r="H63" s="1085"/>
      <c r="I63" s="1085"/>
    </row>
    <row r="64" spans="1:11" x14ac:dyDescent="0.25">
      <c r="B64" s="206" t="s">
        <v>63</v>
      </c>
      <c r="C64" s="1070" t="s">
        <v>64</v>
      </c>
      <c r="D64" s="1070"/>
      <c r="E64" s="1070"/>
      <c r="F64" s="1070"/>
      <c r="G64" s="1070" t="s">
        <v>67</v>
      </c>
      <c r="H64" s="1070"/>
      <c r="I64" s="1070"/>
    </row>
    <row r="67" spans="4:8" x14ac:dyDescent="0.25">
      <c r="D67" s="157"/>
    </row>
    <row r="68" spans="4:8" x14ac:dyDescent="0.25">
      <c r="D68" s="593"/>
      <c r="E68" s="593"/>
      <c r="F68" s="593"/>
      <c r="H68" s="593"/>
    </row>
    <row r="70" spans="4:8" x14ac:dyDescent="0.25">
      <c r="D70" s="157"/>
      <c r="E70" s="157"/>
      <c r="F70" s="157"/>
      <c r="G70" s="157"/>
      <c r="H70" s="157"/>
    </row>
    <row r="71" spans="4:8" x14ac:dyDescent="0.25">
      <c r="D71" s="593"/>
      <c r="E71" s="593"/>
      <c r="F71" s="593"/>
      <c r="H71" s="593"/>
    </row>
  </sheetData>
  <sheetProtection algorithmName="SHA-512" hashValue="0h1Q+HKjbCIhwTu8jaOzoyggctAWHPJW8QIOfr5W1epF+cKdCwC2bMlE/SCLAzMbrr+Xmdk5rtCYg7nzErZHQQ==" saltValue="JoPzA7qJHfdqZ9MekYhrgQ==" spinCount="100000" sheet="1" objects="1" scenarios="1" selectLockedCells="1" selectUnlockedCells="1"/>
  <mergeCells count="10">
    <mergeCell ref="A3:I3"/>
    <mergeCell ref="A4:I4"/>
    <mergeCell ref="C63:F63"/>
    <mergeCell ref="G63:I63"/>
    <mergeCell ref="C64:F64"/>
    <mergeCell ref="G64:I64"/>
    <mergeCell ref="B10:B11"/>
    <mergeCell ref="C10:C11"/>
    <mergeCell ref="F10:H10"/>
    <mergeCell ref="E10:E14"/>
  </mergeCells>
  <conditionalFormatting sqref="C48">
    <cfRule type="expression" dxfId="197" priority="1">
      <formula>ISNUMBER(SEARCH($B$2,C43))</formula>
    </cfRule>
  </conditionalFormatting>
  <printOptions horizontalCentered="1"/>
  <pageMargins left="0.33" right="0.28999999999999998" top="0.75" bottom="0" header="0" footer="0"/>
  <pageSetup paperSize="5" scale="75" orientation="portrait" r:id="rId1"/>
  <headerFooter>
    <oddHeader>&amp;R&amp;D   &amp;T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K69"/>
  <sheetViews>
    <sheetView topLeftCell="A40" zoomScale="120" zoomScaleNormal="120" workbookViewId="0">
      <selection activeCell="B63" sqref="B63"/>
    </sheetView>
  </sheetViews>
  <sheetFormatPr defaultRowHeight="15" x14ac:dyDescent="0.25"/>
  <cols>
    <col min="1" max="1" width="2.85546875" style="36" customWidth="1"/>
    <col min="2" max="2" width="44.28515625" style="36" customWidth="1"/>
    <col min="3" max="4" width="13.42578125" style="36" customWidth="1"/>
    <col min="5" max="5" width="13.42578125" style="36" hidden="1" customWidth="1"/>
    <col min="6" max="8" width="13.42578125" style="36" customWidth="1"/>
    <col min="9" max="9" width="13.5703125" style="36" customWidth="1"/>
    <col min="10" max="10" width="13.28515625" style="36" bestFit="1" customWidth="1"/>
    <col min="11" max="11" width="14" style="36" bestFit="1" customWidth="1"/>
    <col min="12" max="16384" width="9.140625" style="36"/>
  </cols>
  <sheetData>
    <row r="1" spans="1:9" x14ac:dyDescent="0.25">
      <c r="A1" s="36" t="s">
        <v>9</v>
      </c>
      <c r="I1" s="159" t="s">
        <v>27</v>
      </c>
    </row>
    <row r="3" spans="1:9" ht="15" customHeight="1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  <c r="I3" s="1069"/>
    </row>
    <row r="4" spans="1:9" ht="15" customHeight="1" x14ac:dyDescent="0.25">
      <c r="A4" s="1069" t="s">
        <v>47</v>
      </c>
      <c r="B4" s="1069"/>
      <c r="C4" s="1069"/>
      <c r="D4" s="1069"/>
      <c r="E4" s="1069"/>
      <c r="F4" s="1069"/>
      <c r="G4" s="1069"/>
      <c r="H4" s="1069"/>
      <c r="I4" s="1069"/>
    </row>
    <row r="5" spans="1:9" ht="15" customHeight="1" x14ac:dyDescent="0.25">
      <c r="B5" s="116"/>
      <c r="C5" s="114"/>
      <c r="D5" s="114"/>
      <c r="E5" s="114"/>
      <c r="F5" s="114"/>
      <c r="G5" s="114"/>
      <c r="H5" s="114"/>
      <c r="I5" s="114"/>
    </row>
    <row r="6" spans="1:9" ht="15" customHeight="1" x14ac:dyDescent="0.25">
      <c r="A6" s="116" t="s">
        <v>146</v>
      </c>
      <c r="B6" s="116"/>
      <c r="C6" s="114"/>
      <c r="D6" s="114"/>
      <c r="E6" s="114"/>
      <c r="F6" s="114"/>
      <c r="G6" s="114"/>
      <c r="H6" s="114"/>
      <c r="I6" s="114"/>
    </row>
    <row r="7" spans="1:9" ht="15" customHeight="1" x14ac:dyDescent="0.25">
      <c r="A7" s="114" t="s">
        <v>145</v>
      </c>
      <c r="B7" s="114"/>
      <c r="C7" s="114"/>
      <c r="D7" s="114"/>
      <c r="E7" s="114"/>
      <c r="F7" s="114"/>
      <c r="G7" s="114"/>
      <c r="H7" s="114"/>
      <c r="I7" s="114"/>
    </row>
    <row r="8" spans="1:9" ht="15" customHeight="1" x14ac:dyDescent="0.25">
      <c r="A8" s="114" t="s">
        <v>144</v>
      </c>
      <c r="B8" s="114"/>
      <c r="C8" s="114"/>
      <c r="D8" s="114"/>
      <c r="E8" s="114"/>
      <c r="F8" s="114"/>
      <c r="G8" s="114"/>
      <c r="H8" s="114"/>
      <c r="I8" s="114"/>
    </row>
    <row r="9" spans="1:9" ht="21" x14ac:dyDescent="0.35">
      <c r="B9" s="119"/>
      <c r="C9" s="119"/>
      <c r="D9" s="119"/>
      <c r="E9" s="119"/>
      <c r="F9" s="119"/>
      <c r="G9" s="119"/>
      <c r="H9" s="119"/>
      <c r="I9" s="119"/>
    </row>
    <row r="10" spans="1:9" x14ac:dyDescent="0.25">
      <c r="A10" s="122"/>
      <c r="B10" s="1076" t="s">
        <v>0</v>
      </c>
      <c r="C10" s="1073" t="s">
        <v>1</v>
      </c>
      <c r="D10" s="127" t="s">
        <v>2</v>
      </c>
      <c r="E10" s="1082" t="s">
        <v>105</v>
      </c>
      <c r="F10" s="1075" t="s">
        <v>8</v>
      </c>
      <c r="G10" s="1076"/>
      <c r="H10" s="1071"/>
      <c r="I10" s="127" t="s">
        <v>3</v>
      </c>
    </row>
    <row r="11" spans="1:9" ht="63" customHeight="1" x14ac:dyDescent="0.25">
      <c r="A11" s="124"/>
      <c r="B11" s="1087"/>
      <c r="C11" s="1074"/>
      <c r="D11" s="129" t="s">
        <v>4</v>
      </c>
      <c r="E11" s="1083"/>
      <c r="F11" s="209" t="s">
        <v>43</v>
      </c>
      <c r="G11" s="209" t="s">
        <v>34</v>
      </c>
      <c r="H11" s="127" t="s">
        <v>5</v>
      </c>
      <c r="I11" s="129" t="s">
        <v>6</v>
      </c>
    </row>
    <row r="12" spans="1:9" x14ac:dyDescent="0.25">
      <c r="A12" s="124"/>
      <c r="B12" s="425"/>
      <c r="C12" s="129"/>
      <c r="D12" s="129"/>
      <c r="E12" s="1083"/>
      <c r="F12" s="129" t="s">
        <v>4</v>
      </c>
      <c r="G12" s="129" t="s">
        <v>7</v>
      </c>
      <c r="H12" s="129"/>
      <c r="I12" s="129"/>
    </row>
    <row r="13" spans="1:9" x14ac:dyDescent="0.25">
      <c r="A13" s="124"/>
      <c r="B13" s="425"/>
      <c r="C13" s="129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131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135" t="s">
        <v>11</v>
      </c>
      <c r="B15" s="135"/>
      <c r="C15" s="129"/>
      <c r="D15" s="129"/>
      <c r="E15" s="129"/>
      <c r="F15" s="129"/>
      <c r="G15" s="129"/>
      <c r="H15" s="129"/>
      <c r="I15" s="129"/>
    </row>
    <row r="16" spans="1:9" x14ac:dyDescent="0.25">
      <c r="A16" s="54"/>
      <c r="B16" s="105" t="s">
        <v>219</v>
      </c>
      <c r="C16" s="89" t="s">
        <v>73</v>
      </c>
      <c r="D16" s="320">
        <v>283552</v>
      </c>
      <c r="E16" s="320">
        <v>796464</v>
      </c>
      <c r="F16" s="320">
        <v>122642</v>
      </c>
      <c r="G16" s="86">
        <f>H16-F16</f>
        <v>398892</v>
      </c>
      <c r="H16" s="320">
        <v>521534</v>
      </c>
      <c r="I16" s="84">
        <f>[1]MSWD!$L$32</f>
        <v>991248</v>
      </c>
    </row>
    <row r="17" spans="1:11" x14ac:dyDescent="0.25">
      <c r="A17" s="54"/>
      <c r="B17" s="105" t="s">
        <v>220</v>
      </c>
      <c r="C17" s="89" t="s">
        <v>86</v>
      </c>
      <c r="D17" s="85">
        <v>47310</v>
      </c>
      <c r="E17" s="85">
        <v>50000</v>
      </c>
      <c r="F17" s="320">
        <v>48760</v>
      </c>
      <c r="G17" s="86">
        <f t="shared" ref="G17:G31" si="0">H17-F17</f>
        <v>82429.670000000013</v>
      </c>
      <c r="H17" s="320">
        <v>131189.67000000001</v>
      </c>
      <c r="I17" s="85">
        <f>[1]MSWD!$M$32</f>
        <v>125000</v>
      </c>
    </row>
    <row r="18" spans="1:11" x14ac:dyDescent="0.25">
      <c r="A18" s="54"/>
      <c r="B18" s="538" t="s">
        <v>221</v>
      </c>
      <c r="C18" s="184" t="s">
        <v>74</v>
      </c>
      <c r="D18" s="320">
        <v>29500</v>
      </c>
      <c r="E18" s="320">
        <v>48000</v>
      </c>
      <c r="F18" s="320">
        <v>14000</v>
      </c>
      <c r="G18" s="86">
        <f t="shared" si="0"/>
        <v>24000</v>
      </c>
      <c r="H18" s="320">
        <v>38000</v>
      </c>
      <c r="I18" s="84">
        <f>[1]MSWD!$N$32</f>
        <v>72000</v>
      </c>
    </row>
    <row r="19" spans="1:11" x14ac:dyDescent="0.25">
      <c r="A19" s="54"/>
      <c r="B19" s="538" t="s">
        <v>224</v>
      </c>
      <c r="C19" s="184" t="s">
        <v>75</v>
      </c>
      <c r="D19" s="320">
        <v>67500</v>
      </c>
      <c r="E19" s="320">
        <v>67500</v>
      </c>
      <c r="F19" s="320">
        <v>33750</v>
      </c>
      <c r="G19" s="86">
        <f t="shared" si="0"/>
        <v>33750</v>
      </c>
      <c r="H19" s="320">
        <v>67500</v>
      </c>
      <c r="I19" s="320">
        <f>[1]MSWD!$O$32</f>
        <v>67500</v>
      </c>
    </row>
    <row r="20" spans="1:11" x14ac:dyDescent="0.25">
      <c r="A20" s="54"/>
      <c r="B20" s="538" t="s">
        <v>223</v>
      </c>
      <c r="C20" s="184" t="s">
        <v>76</v>
      </c>
      <c r="D20" s="320">
        <v>67500</v>
      </c>
      <c r="E20" s="320">
        <v>67500</v>
      </c>
      <c r="F20" s="320">
        <v>33750</v>
      </c>
      <c r="G20" s="86">
        <f t="shared" si="0"/>
        <v>33750</v>
      </c>
      <c r="H20" s="320">
        <v>67500</v>
      </c>
      <c r="I20" s="320">
        <f>[1]MSWD!$P$32</f>
        <v>67500</v>
      </c>
    </row>
    <row r="21" spans="1:11" x14ac:dyDescent="0.25">
      <c r="A21" s="54"/>
      <c r="B21" s="538" t="s">
        <v>222</v>
      </c>
      <c r="C21" s="184" t="s">
        <v>77</v>
      </c>
      <c r="D21" s="320">
        <v>10000</v>
      </c>
      <c r="E21" s="320">
        <v>10000</v>
      </c>
      <c r="F21" s="320">
        <v>1000</v>
      </c>
      <c r="G21" s="86">
        <f t="shared" si="0"/>
        <v>5000</v>
      </c>
      <c r="H21" s="320">
        <v>6000</v>
      </c>
      <c r="I21" s="84">
        <f>[1]MSWD!$Q$32</f>
        <v>18000</v>
      </c>
    </row>
    <row r="22" spans="1:11" x14ac:dyDescent="0.25">
      <c r="A22" s="54"/>
      <c r="B22" s="173" t="s">
        <v>285</v>
      </c>
      <c r="C22" s="184" t="s">
        <v>89</v>
      </c>
      <c r="D22" s="199"/>
      <c r="E22" s="199">
        <v>18000</v>
      </c>
      <c r="F22" s="199"/>
      <c r="G22" s="86">
        <f t="shared" si="0"/>
        <v>9000</v>
      </c>
      <c r="H22" s="199">
        <v>9000</v>
      </c>
      <c r="I22" s="86">
        <f>[1]MSWD!$AA$32</f>
        <v>18000</v>
      </c>
    </row>
    <row r="23" spans="1:11" ht="15" customHeight="1" x14ac:dyDescent="0.25">
      <c r="A23" s="54"/>
      <c r="B23" s="538" t="s">
        <v>225</v>
      </c>
      <c r="C23" s="184" t="s">
        <v>78</v>
      </c>
      <c r="D23" s="85">
        <v>5000</v>
      </c>
      <c r="E23" s="85">
        <v>10000</v>
      </c>
      <c r="F23" s="320"/>
      <c r="G23" s="86">
        <f t="shared" si="0"/>
        <v>10000</v>
      </c>
      <c r="H23" s="320">
        <v>10000</v>
      </c>
      <c r="I23" s="84">
        <f>[1]MSWD!$R$32</f>
        <v>15000</v>
      </c>
    </row>
    <row r="24" spans="1:11" x14ac:dyDescent="0.25">
      <c r="A24" s="54"/>
      <c r="B24" s="173" t="s">
        <v>286</v>
      </c>
      <c r="C24" s="184" t="s">
        <v>91</v>
      </c>
      <c r="D24" s="98"/>
      <c r="E24" s="98">
        <v>102000</v>
      </c>
      <c r="F24" s="98"/>
      <c r="G24" s="86">
        <f t="shared" si="0"/>
        <v>62436.9</v>
      </c>
      <c r="H24" s="98">
        <v>62436.9</v>
      </c>
      <c r="I24" s="98">
        <f>[1]MSWD!$AB$32</f>
        <v>125000</v>
      </c>
    </row>
    <row r="25" spans="1:11" x14ac:dyDescent="0.25">
      <c r="A25" s="54"/>
      <c r="B25" s="538" t="s">
        <v>226</v>
      </c>
      <c r="C25" s="184" t="s">
        <v>80</v>
      </c>
      <c r="D25" s="320">
        <f>11048+35868</f>
        <v>46916</v>
      </c>
      <c r="E25" s="320">
        <f>68027+136054</f>
        <v>204081</v>
      </c>
      <c r="F25" s="320">
        <f>11393</f>
        <v>11393</v>
      </c>
      <c r="G25" s="86">
        <f t="shared" si="0"/>
        <v>66367</v>
      </c>
      <c r="H25" s="320">
        <f>66367+11393</f>
        <v>77760</v>
      </c>
      <c r="I25" s="84">
        <f>[1]MSWD!$S$32</f>
        <v>165208</v>
      </c>
    </row>
    <row r="26" spans="1:11" x14ac:dyDescent="0.25">
      <c r="A26" s="54"/>
      <c r="B26" s="538" t="s">
        <v>227</v>
      </c>
      <c r="C26" s="184" t="s">
        <v>79</v>
      </c>
      <c r="D26" s="320">
        <v>7500</v>
      </c>
      <c r="E26" s="320">
        <v>10000</v>
      </c>
      <c r="F26" s="320"/>
      <c r="G26" s="86">
        <f t="shared" si="0"/>
        <v>10000</v>
      </c>
      <c r="H26" s="320">
        <v>10000</v>
      </c>
      <c r="I26" s="84">
        <f>[1]MSWD!$T$32</f>
        <v>15000</v>
      </c>
    </row>
    <row r="27" spans="1:11" x14ac:dyDescent="0.25">
      <c r="A27" s="54"/>
      <c r="B27" s="538" t="s">
        <v>228</v>
      </c>
      <c r="C27" s="184" t="s">
        <v>81</v>
      </c>
      <c r="D27" s="320">
        <v>28396.32</v>
      </c>
      <c r="E27" s="320">
        <v>97958.88</v>
      </c>
      <c r="F27" s="320">
        <v>15367.04</v>
      </c>
      <c r="G27" s="86">
        <f t="shared" si="0"/>
        <v>47597.04</v>
      </c>
      <c r="H27" s="320">
        <v>62964.08</v>
      </c>
      <c r="I27" s="84">
        <f>[1]MSWD!$U$32</f>
        <v>118949.75999999999</v>
      </c>
    </row>
    <row r="28" spans="1:11" x14ac:dyDescent="0.25">
      <c r="A28" s="54"/>
      <c r="B28" s="538" t="s">
        <v>229</v>
      </c>
      <c r="C28" s="184" t="s">
        <v>82</v>
      </c>
      <c r="D28" s="320">
        <v>1100</v>
      </c>
      <c r="E28" s="320">
        <v>2400</v>
      </c>
      <c r="F28" s="320">
        <v>600</v>
      </c>
      <c r="G28" s="86">
        <f t="shared" si="0"/>
        <v>1200</v>
      </c>
      <c r="H28" s="320">
        <v>1800</v>
      </c>
      <c r="I28" s="84">
        <f>[1]MSWD!$V$32</f>
        <v>3600</v>
      </c>
    </row>
    <row r="29" spans="1:11" x14ac:dyDescent="0.25">
      <c r="A29" s="54"/>
      <c r="B29" s="538" t="s">
        <v>230</v>
      </c>
      <c r="C29" s="184" t="s">
        <v>83</v>
      </c>
      <c r="D29" s="320">
        <v>3400</v>
      </c>
      <c r="E29" s="320">
        <v>6750</v>
      </c>
      <c r="F29" s="320">
        <v>959.25</v>
      </c>
      <c r="G29" s="86">
        <f t="shared" si="0"/>
        <v>4249.42</v>
      </c>
      <c r="H29" s="320">
        <v>5208.67</v>
      </c>
      <c r="I29" s="84">
        <f>[1]MSWD!$W$32</f>
        <v>9908.0849999999991</v>
      </c>
    </row>
    <row r="30" spans="1:11" x14ac:dyDescent="0.25">
      <c r="A30" s="54"/>
      <c r="B30" s="551" t="s">
        <v>231</v>
      </c>
      <c r="C30" s="184" t="s">
        <v>84</v>
      </c>
      <c r="D30" s="320">
        <v>400</v>
      </c>
      <c r="E30" s="320">
        <v>8163.24</v>
      </c>
      <c r="F30" s="320">
        <v>700</v>
      </c>
      <c r="G30" s="86">
        <f t="shared" si="0"/>
        <v>1200</v>
      </c>
      <c r="H30" s="320">
        <v>1900</v>
      </c>
      <c r="I30" s="84">
        <f>[1]MSWD!$X$32</f>
        <v>9912.4800000000014</v>
      </c>
    </row>
    <row r="31" spans="1:11" x14ac:dyDescent="0.25">
      <c r="A31" s="136"/>
      <c r="B31" s="539" t="s">
        <v>233</v>
      </c>
      <c r="C31" s="186" t="s">
        <v>85</v>
      </c>
      <c r="D31" s="541">
        <v>57850.52</v>
      </c>
      <c r="E31" s="541">
        <v>65568.100000000006</v>
      </c>
      <c r="F31" s="552">
        <v>10981.19</v>
      </c>
      <c r="G31" s="197">
        <f t="shared" si="0"/>
        <v>3000</v>
      </c>
      <c r="H31" s="541">
        <v>13981.19</v>
      </c>
      <c r="I31" s="87">
        <f>[1]MSWD!$Z$32</f>
        <v>71617.243761999998</v>
      </c>
    </row>
    <row r="32" spans="1:11" s="495" customFormat="1" ht="12.75" x14ac:dyDescent="0.2">
      <c r="A32" s="674" t="s">
        <v>71</v>
      </c>
      <c r="B32" s="675"/>
      <c r="C32" s="507"/>
      <c r="D32" s="493">
        <f>SUM(D16:D31)</f>
        <v>655924.84</v>
      </c>
      <c r="E32" s="493">
        <f t="shared" ref="E32:H32" si="1">SUM(E16:E31)</f>
        <v>1564385.22</v>
      </c>
      <c r="F32" s="493">
        <f t="shared" si="1"/>
        <v>293902.48</v>
      </c>
      <c r="G32" s="493">
        <f t="shared" si="1"/>
        <v>792872.03000000014</v>
      </c>
      <c r="H32" s="493">
        <f t="shared" si="1"/>
        <v>1086774.51</v>
      </c>
      <c r="I32" s="493">
        <f>SUM(I16:I31)</f>
        <v>1893443.568762</v>
      </c>
      <c r="J32" s="494"/>
      <c r="K32" s="494"/>
    </row>
    <row r="33" spans="1:10" x14ac:dyDescent="0.25">
      <c r="A33" s="543" t="s">
        <v>14</v>
      </c>
      <c r="B33" s="150"/>
      <c r="C33" s="394"/>
      <c r="D33" s="394"/>
      <c r="E33" s="394"/>
      <c r="F33" s="394"/>
      <c r="G33" s="394"/>
      <c r="H33" s="394"/>
      <c r="I33" s="394"/>
    </row>
    <row r="34" spans="1:10" x14ac:dyDescent="0.25">
      <c r="A34" s="54"/>
      <c r="B34" s="105" t="s">
        <v>234</v>
      </c>
      <c r="C34" s="89" t="s">
        <v>92</v>
      </c>
      <c r="D34" s="86">
        <v>69565</v>
      </c>
      <c r="E34" s="101">
        <v>60000</v>
      </c>
      <c r="F34" s="193">
        <v>20345</v>
      </c>
      <c r="G34" s="86">
        <f>H34-F34</f>
        <v>39273</v>
      </c>
      <c r="H34" s="86">
        <v>59618</v>
      </c>
      <c r="I34" s="101">
        <v>60000</v>
      </c>
    </row>
    <row r="35" spans="1:10" x14ac:dyDescent="0.25">
      <c r="A35" s="54"/>
      <c r="B35" s="105" t="s">
        <v>235</v>
      </c>
      <c r="C35" s="89" t="s">
        <v>93</v>
      </c>
      <c r="D35" s="86">
        <v>17770</v>
      </c>
      <c r="E35" s="101">
        <v>32000</v>
      </c>
      <c r="F35" s="193"/>
      <c r="G35" s="86">
        <f>H35-F35</f>
        <v>33970</v>
      </c>
      <c r="H35" s="86">
        <v>33970</v>
      </c>
      <c r="I35" s="101">
        <v>32000</v>
      </c>
    </row>
    <row r="36" spans="1:10" x14ac:dyDescent="0.25">
      <c r="A36" s="54"/>
      <c r="B36" s="105" t="s">
        <v>236</v>
      </c>
      <c r="C36" s="89" t="s">
        <v>94</v>
      </c>
      <c r="D36" s="86">
        <v>19894.349999999999</v>
      </c>
      <c r="E36" s="101">
        <v>20000</v>
      </c>
      <c r="F36" s="193">
        <v>12786.11</v>
      </c>
      <c r="G36" s="86">
        <f>H36-F36</f>
        <v>17259.599999999999</v>
      </c>
      <c r="H36" s="86">
        <v>30045.71</v>
      </c>
      <c r="I36" s="101">
        <v>20000</v>
      </c>
    </row>
    <row r="37" spans="1:10" x14ac:dyDescent="0.25">
      <c r="A37" s="54"/>
      <c r="B37" s="172" t="s">
        <v>268</v>
      </c>
      <c r="C37" s="89" t="s">
        <v>98</v>
      </c>
      <c r="D37" s="86"/>
      <c r="E37" s="101"/>
      <c r="F37" s="193"/>
      <c r="G37" s="86">
        <f>H37-F37</f>
        <v>0</v>
      </c>
      <c r="H37" s="86"/>
      <c r="I37" s="101"/>
    </row>
    <row r="38" spans="1:10" x14ac:dyDescent="0.25">
      <c r="A38" s="54"/>
      <c r="B38" s="105" t="s">
        <v>237</v>
      </c>
      <c r="C38" s="89" t="s">
        <v>95</v>
      </c>
      <c r="D38" s="86"/>
      <c r="E38" s="101">
        <v>18000</v>
      </c>
      <c r="F38" s="193">
        <v>11354.01</v>
      </c>
      <c r="G38" s="86">
        <f t="shared" ref="G38:G43" si="2">H38-F38</f>
        <v>6645.99</v>
      </c>
      <c r="H38" s="86">
        <v>18000</v>
      </c>
      <c r="I38" s="101">
        <v>24000</v>
      </c>
    </row>
    <row r="39" spans="1:10" x14ac:dyDescent="0.25">
      <c r="A39" s="54"/>
      <c r="B39" s="598" t="s">
        <v>238</v>
      </c>
      <c r="C39" s="89" t="s">
        <v>118</v>
      </c>
      <c r="D39" s="86"/>
      <c r="E39" s="101"/>
      <c r="F39" s="193"/>
      <c r="G39" s="86"/>
      <c r="H39" s="86"/>
      <c r="I39" s="101">
        <v>18000</v>
      </c>
    </row>
    <row r="40" spans="1:10" x14ac:dyDescent="0.25">
      <c r="A40" s="54"/>
      <c r="B40" s="105" t="s">
        <v>255</v>
      </c>
      <c r="C40" s="89" t="s">
        <v>96</v>
      </c>
      <c r="D40" s="86">
        <v>95910</v>
      </c>
      <c r="E40" s="101">
        <v>0</v>
      </c>
      <c r="F40" s="193"/>
      <c r="G40" s="86">
        <f t="shared" si="2"/>
        <v>0</v>
      </c>
      <c r="H40" s="86"/>
      <c r="I40" s="101">
        <v>0</v>
      </c>
    </row>
    <row r="41" spans="1:10" x14ac:dyDescent="0.25">
      <c r="A41" s="54"/>
      <c r="B41" s="105" t="s">
        <v>240</v>
      </c>
      <c r="C41" s="89" t="s">
        <v>99</v>
      </c>
      <c r="D41" s="86">
        <v>14445.84</v>
      </c>
      <c r="E41" s="101">
        <v>15000</v>
      </c>
      <c r="F41" s="193"/>
      <c r="G41" s="86">
        <f t="shared" si="2"/>
        <v>12456.01</v>
      </c>
      <c r="H41" s="86">
        <v>12456.01</v>
      </c>
      <c r="I41" s="101">
        <v>1000</v>
      </c>
    </row>
    <row r="42" spans="1:10" x14ac:dyDescent="0.25">
      <c r="A42" s="54"/>
      <c r="B42" s="105" t="s">
        <v>283</v>
      </c>
      <c r="C42" s="89" t="s">
        <v>137</v>
      </c>
      <c r="D42" s="86"/>
      <c r="E42" s="101">
        <v>10000</v>
      </c>
      <c r="F42" s="193"/>
      <c r="G42" s="86">
        <f t="shared" si="2"/>
        <v>0</v>
      </c>
      <c r="H42" s="86"/>
      <c r="I42" s="101"/>
    </row>
    <row r="43" spans="1:10" x14ac:dyDescent="0.25">
      <c r="A43" s="136"/>
      <c r="B43" s="178" t="s">
        <v>301</v>
      </c>
      <c r="C43" s="96" t="s">
        <v>97</v>
      </c>
      <c r="D43" s="197"/>
      <c r="E43" s="695"/>
      <c r="F43" s="504"/>
      <c r="G43" s="197">
        <f t="shared" si="2"/>
        <v>0</v>
      </c>
      <c r="H43" s="197"/>
      <c r="I43" s="695"/>
    </row>
    <row r="44" spans="1:10" x14ac:dyDescent="0.25">
      <c r="A44" s="564" t="s">
        <v>68</v>
      </c>
      <c r="B44" s="565"/>
      <c r="C44" s="142"/>
      <c r="D44" s="542">
        <f t="shared" ref="D44:I44" si="3">SUM(D34:D43)</f>
        <v>217585.19</v>
      </c>
      <c r="E44" s="542">
        <f t="shared" si="3"/>
        <v>155000</v>
      </c>
      <c r="F44" s="542">
        <f t="shared" si="3"/>
        <v>44485.120000000003</v>
      </c>
      <c r="G44" s="542">
        <f t="shared" si="3"/>
        <v>109604.6</v>
      </c>
      <c r="H44" s="542">
        <f t="shared" si="3"/>
        <v>154089.72</v>
      </c>
      <c r="I44" s="542">
        <f t="shared" si="3"/>
        <v>155000</v>
      </c>
      <c r="J44" s="139"/>
    </row>
    <row r="45" spans="1:10" x14ac:dyDescent="0.25">
      <c r="A45" s="623" t="s">
        <v>13</v>
      </c>
      <c r="B45" s="624"/>
      <c r="C45" s="130"/>
      <c r="D45" s="130"/>
      <c r="E45" s="130"/>
      <c r="F45" s="130"/>
      <c r="G45" s="130"/>
      <c r="H45" s="130"/>
      <c r="I45" s="130"/>
    </row>
    <row r="46" spans="1:10" x14ac:dyDescent="0.25">
      <c r="A46" s="54"/>
      <c r="B46" s="105" t="s">
        <v>275</v>
      </c>
      <c r="C46" s="336" t="s">
        <v>110</v>
      </c>
      <c r="D46" s="102"/>
      <c r="E46" s="102"/>
      <c r="F46" s="102"/>
      <c r="G46" s="102"/>
      <c r="H46" s="102"/>
      <c r="I46" s="198">
        <f>57000-32000</f>
        <v>25000</v>
      </c>
    </row>
    <row r="47" spans="1:10" x14ac:dyDescent="0.25">
      <c r="A47" s="54"/>
      <c r="B47" s="105" t="s">
        <v>244</v>
      </c>
      <c r="C47" s="201" t="s">
        <v>108</v>
      </c>
      <c r="D47" s="102"/>
      <c r="E47" s="102"/>
      <c r="F47" s="102"/>
      <c r="G47" s="102"/>
      <c r="H47" s="102"/>
      <c r="I47" s="198">
        <f>50000+32000</f>
        <v>82000</v>
      </c>
    </row>
    <row r="48" spans="1:10" x14ac:dyDescent="0.25">
      <c r="A48" s="136"/>
      <c r="B48" s="501" t="s">
        <v>245</v>
      </c>
      <c r="C48" s="546" t="s">
        <v>107</v>
      </c>
      <c r="D48" s="202"/>
      <c r="E48" s="202"/>
      <c r="F48" s="202"/>
      <c r="G48" s="202"/>
      <c r="H48" s="202"/>
      <c r="I48" s="202"/>
    </row>
    <row r="49" spans="1:11" x14ac:dyDescent="0.25">
      <c r="A49" s="696" t="s">
        <v>72</v>
      </c>
      <c r="B49" s="606"/>
      <c r="C49" s="143"/>
      <c r="D49" s="143">
        <f>SUM(D46:D48)</f>
        <v>0</v>
      </c>
      <c r="E49" s="143">
        <f t="shared" ref="E49:H49" si="4">SUM(E46:E48)</f>
        <v>0</v>
      </c>
      <c r="F49" s="143">
        <f>SUM(F46:F48)</f>
        <v>0</v>
      </c>
      <c r="G49" s="143">
        <f t="shared" si="4"/>
        <v>0</v>
      </c>
      <c r="H49" s="143">
        <f t="shared" si="4"/>
        <v>0</v>
      </c>
      <c r="I49" s="143">
        <f>SUM(I46:I48)</f>
        <v>107000</v>
      </c>
    </row>
    <row r="50" spans="1:11" s="495" customFormat="1" ht="12.75" x14ac:dyDescent="0.2">
      <c r="A50" s="697" t="s">
        <v>20</v>
      </c>
      <c r="B50" s="698"/>
      <c r="C50" s="507"/>
      <c r="D50" s="699">
        <f t="shared" ref="D50:H50" si="5">D32+D44+D49</f>
        <v>873510.03</v>
      </c>
      <c r="E50" s="699">
        <f t="shared" si="5"/>
        <v>1719385.22</v>
      </c>
      <c r="F50" s="699">
        <f t="shared" si="5"/>
        <v>338387.6</v>
      </c>
      <c r="G50" s="699">
        <f t="shared" si="5"/>
        <v>902476.63000000012</v>
      </c>
      <c r="H50" s="699">
        <f t="shared" si="5"/>
        <v>1240864.23</v>
      </c>
      <c r="I50" s="699">
        <f>I32+I44+I49</f>
        <v>2155443.5687619997</v>
      </c>
      <c r="K50" s="494"/>
    </row>
    <row r="51" spans="1:11" x14ac:dyDescent="0.25">
      <c r="B51" s="150"/>
      <c r="C51" s="151"/>
      <c r="D51" s="152"/>
      <c r="E51" s="152"/>
      <c r="F51" s="152"/>
      <c r="G51" s="149"/>
      <c r="H51" s="149"/>
      <c r="I51" s="149"/>
    </row>
    <row r="52" spans="1:11" x14ac:dyDescent="0.25">
      <c r="B52" s="153" t="s">
        <v>22</v>
      </c>
      <c r="C52" s="36" t="s">
        <v>23</v>
      </c>
      <c r="F52" s="113"/>
      <c r="G52" s="36" t="s">
        <v>24</v>
      </c>
    </row>
    <row r="53" spans="1:11" x14ac:dyDescent="0.25">
      <c r="F53" s="113"/>
    </row>
    <row r="54" spans="1:11" x14ac:dyDescent="0.25">
      <c r="B54" s="216" t="s">
        <v>152</v>
      </c>
      <c r="C54" s="1128" t="s">
        <v>51</v>
      </c>
      <c r="D54" s="1128"/>
      <c r="E54" s="1128"/>
      <c r="F54" s="1128"/>
      <c r="G54" s="1085" t="s">
        <v>117</v>
      </c>
      <c r="H54" s="1085"/>
      <c r="I54" s="1085"/>
    </row>
    <row r="55" spans="1:11" x14ac:dyDescent="0.25">
      <c r="B55" s="206" t="s">
        <v>63</v>
      </c>
      <c r="C55" s="1070" t="s">
        <v>64</v>
      </c>
      <c r="D55" s="1070"/>
      <c r="E55" s="1070"/>
      <c r="F55" s="1070"/>
      <c r="G55" s="1070" t="s">
        <v>67</v>
      </c>
      <c r="H55" s="1070"/>
      <c r="I55" s="1070"/>
    </row>
    <row r="61" spans="1:11" x14ac:dyDescent="0.25">
      <c r="C61" s="37"/>
      <c r="D61" s="37"/>
      <c r="E61" s="37"/>
      <c r="F61" s="37"/>
      <c r="G61" s="37"/>
      <c r="H61" s="37"/>
      <c r="I61" s="37"/>
    </row>
    <row r="62" spans="1:11" x14ac:dyDescent="0.25">
      <c r="C62" s="37"/>
      <c r="D62" s="37"/>
      <c r="E62" s="37"/>
      <c r="F62" s="37"/>
      <c r="G62" s="37"/>
      <c r="H62" s="37"/>
      <c r="I62" s="37"/>
    </row>
    <row r="63" spans="1:11" x14ac:dyDescent="0.25">
      <c r="C63" s="37"/>
      <c r="D63" s="37"/>
      <c r="E63" s="37"/>
      <c r="F63" s="37"/>
      <c r="G63" s="37"/>
      <c r="H63" s="37"/>
      <c r="I63" s="37"/>
    </row>
    <row r="64" spans="1:11" x14ac:dyDescent="0.25">
      <c r="C64" s="37"/>
      <c r="D64" s="37"/>
      <c r="E64" s="37"/>
      <c r="F64" s="37"/>
      <c r="G64" s="37"/>
      <c r="H64" s="37"/>
      <c r="I64" s="37"/>
    </row>
    <row r="65" spans="3:9" x14ac:dyDescent="0.25">
      <c r="C65" s="37"/>
      <c r="D65" s="37"/>
      <c r="E65" s="37"/>
      <c r="F65" s="37"/>
      <c r="G65" s="37"/>
      <c r="H65" s="37"/>
      <c r="I65" s="37"/>
    </row>
    <row r="66" spans="3:9" x14ac:dyDescent="0.25">
      <c r="C66" s="37"/>
      <c r="D66" s="37"/>
      <c r="E66" s="37"/>
      <c r="F66" s="37"/>
      <c r="G66" s="37"/>
      <c r="H66" s="37"/>
      <c r="I66" s="37"/>
    </row>
    <row r="67" spans="3:9" x14ac:dyDescent="0.25">
      <c r="C67" s="37"/>
      <c r="D67" s="37"/>
      <c r="E67" s="37"/>
      <c r="F67" s="37"/>
      <c r="G67" s="37"/>
      <c r="H67" s="37"/>
      <c r="I67" s="37"/>
    </row>
    <row r="68" spans="3:9" x14ac:dyDescent="0.25">
      <c r="C68" s="37"/>
      <c r="D68" s="37"/>
      <c r="E68" s="37"/>
      <c r="F68" s="37"/>
      <c r="G68" s="37"/>
      <c r="H68" s="37"/>
      <c r="I68" s="37"/>
    </row>
    <row r="69" spans="3:9" x14ac:dyDescent="0.25">
      <c r="C69" s="37"/>
      <c r="D69" s="37"/>
      <c r="E69" s="37"/>
      <c r="F69" s="37"/>
      <c r="G69" s="37"/>
      <c r="H69" s="37"/>
      <c r="I69" s="37"/>
    </row>
  </sheetData>
  <sheetProtection algorithmName="SHA-512" hashValue="feCrsxsEE75LE1G+y1qYegY8I1T32xZQUOeDS1gayMcPw6ryhuxZA09Qfz60VvuJdECbcHV+++BRq+ZqYpjQAA==" saltValue="oQK75MmIygl7MzU7p5DScg==" spinCount="100000" sheet="1" objects="1" scenarios="1" selectLockedCells="1" selectUnlockedCells="1"/>
  <mergeCells count="10">
    <mergeCell ref="A3:I3"/>
    <mergeCell ref="A4:I4"/>
    <mergeCell ref="C54:F54"/>
    <mergeCell ref="G54:I54"/>
    <mergeCell ref="C55:F55"/>
    <mergeCell ref="G55:I55"/>
    <mergeCell ref="B10:B11"/>
    <mergeCell ref="C10:C11"/>
    <mergeCell ref="F10:H10"/>
    <mergeCell ref="E10:E14"/>
  </mergeCells>
  <printOptions horizontalCentered="1"/>
  <pageMargins left="0.25" right="0" top="0.75" bottom="0" header="0" footer="0"/>
  <pageSetup paperSize="5" scale="70" orientation="portrait" r:id="rId1"/>
  <headerFooter>
    <oddHeader>&amp;R&amp;D   &amp;T</oddHeader>
  </headerFooter>
  <colBreaks count="1" manualBreakCount="1">
    <brk id="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K71"/>
  <sheetViews>
    <sheetView topLeftCell="A27" zoomScaleNormal="100" workbookViewId="0">
      <selection activeCell="B57" sqref="B57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16" style="41" customWidth="1"/>
    <col min="11" max="11" width="14" style="700" bestFit="1" customWidth="1"/>
    <col min="12" max="16384" width="9.140625" style="41"/>
  </cols>
  <sheetData>
    <row r="1" spans="1:11" x14ac:dyDescent="0.25">
      <c r="B1" s="41" t="s">
        <v>9</v>
      </c>
      <c r="I1" s="41" t="s">
        <v>27</v>
      </c>
    </row>
    <row r="3" spans="1:11" ht="15" customHeight="1" x14ac:dyDescent="0.25">
      <c r="B3" s="1067" t="s">
        <v>10</v>
      </c>
      <c r="C3" s="1067"/>
      <c r="D3" s="1067"/>
      <c r="E3" s="1067"/>
      <c r="F3" s="1067"/>
      <c r="G3" s="1067"/>
      <c r="H3" s="1067"/>
      <c r="I3" s="1067"/>
    </row>
    <row r="4" spans="1:11" ht="15" customHeight="1" x14ac:dyDescent="0.25">
      <c r="B4" s="1067" t="s">
        <v>47</v>
      </c>
      <c r="C4" s="1067"/>
      <c r="D4" s="1067"/>
      <c r="E4" s="1067"/>
      <c r="F4" s="1067"/>
      <c r="G4" s="1067"/>
      <c r="H4" s="1067"/>
      <c r="I4" s="1067"/>
    </row>
    <row r="5" spans="1:11" ht="15" customHeight="1" x14ac:dyDescent="0.25">
      <c r="B5" s="586"/>
      <c r="C5" s="118"/>
      <c r="D5" s="118"/>
      <c r="E5" s="118"/>
      <c r="F5" s="118"/>
      <c r="G5" s="118"/>
      <c r="H5" s="118"/>
      <c r="I5" s="118"/>
    </row>
    <row r="6" spans="1:11" ht="15" customHeight="1" x14ac:dyDescent="0.25">
      <c r="B6" s="586" t="s">
        <v>154</v>
      </c>
      <c r="C6" s="118"/>
      <c r="D6" s="118"/>
      <c r="E6" s="118"/>
      <c r="F6" s="118"/>
      <c r="G6" s="118"/>
      <c r="H6" s="118"/>
      <c r="I6" s="118"/>
    </row>
    <row r="7" spans="1:11" ht="15" customHeight="1" x14ac:dyDescent="0.25">
      <c r="B7" s="118" t="s">
        <v>153</v>
      </c>
      <c r="C7" s="118"/>
      <c r="D7" s="118"/>
      <c r="E7" s="118"/>
      <c r="F7" s="118"/>
      <c r="G7" s="118"/>
      <c r="H7" s="118"/>
      <c r="I7" s="118"/>
    </row>
    <row r="8" spans="1:11" ht="15" customHeight="1" x14ac:dyDescent="0.25">
      <c r="B8" s="118" t="s">
        <v>144</v>
      </c>
      <c r="C8" s="118"/>
      <c r="D8" s="118"/>
      <c r="E8" s="118"/>
      <c r="F8" s="118"/>
      <c r="G8" s="118"/>
      <c r="H8" s="118"/>
      <c r="I8" s="118"/>
    </row>
    <row r="9" spans="1:11" ht="15" customHeight="1" x14ac:dyDescent="0.35">
      <c r="B9" s="121"/>
      <c r="C9" s="121"/>
      <c r="D9" s="121"/>
      <c r="E9" s="121"/>
      <c r="F9" s="121"/>
      <c r="G9" s="121"/>
      <c r="H9" s="121"/>
      <c r="I9" s="121"/>
    </row>
    <row r="10" spans="1:11" x14ac:dyDescent="0.25">
      <c r="A10" s="617"/>
      <c r="B10" s="1129" t="s">
        <v>0</v>
      </c>
      <c r="C10" s="1120" t="s">
        <v>1</v>
      </c>
      <c r="D10" s="212" t="s">
        <v>2</v>
      </c>
      <c r="E10" s="1082" t="s">
        <v>105</v>
      </c>
      <c r="F10" s="1124" t="s">
        <v>8</v>
      </c>
      <c r="G10" s="1129"/>
      <c r="H10" s="1125"/>
      <c r="I10" s="212" t="s">
        <v>3</v>
      </c>
    </row>
    <row r="11" spans="1:11" ht="45" x14ac:dyDescent="0.25">
      <c r="A11" s="588"/>
      <c r="B11" s="1064"/>
      <c r="C11" s="1121"/>
      <c r="D11" s="213" t="s">
        <v>4</v>
      </c>
      <c r="E11" s="1083"/>
      <c r="F11" s="618" t="s">
        <v>44</v>
      </c>
      <c r="G11" s="618" t="s">
        <v>36</v>
      </c>
      <c r="H11" s="212" t="s">
        <v>5</v>
      </c>
      <c r="I11" s="213" t="s">
        <v>6</v>
      </c>
    </row>
    <row r="12" spans="1:11" x14ac:dyDescent="0.25">
      <c r="A12" s="588"/>
      <c r="B12" s="619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11" x14ac:dyDescent="0.25">
      <c r="A13" s="588"/>
      <c r="B13" s="619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11" x14ac:dyDescent="0.25">
      <c r="A14" s="590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11" x14ac:dyDescent="0.25">
      <c r="A15" s="620" t="s">
        <v>11</v>
      </c>
      <c r="B15" s="646"/>
      <c r="C15" s="213"/>
      <c r="D15" s="213"/>
      <c r="E15" s="213"/>
      <c r="F15" s="213"/>
      <c r="G15" s="213"/>
      <c r="H15" s="213"/>
      <c r="I15" s="213"/>
    </row>
    <row r="16" spans="1:11" x14ac:dyDescent="0.25">
      <c r="A16" s="588"/>
      <c r="B16" s="99" t="s">
        <v>219</v>
      </c>
      <c r="C16" s="28" t="s">
        <v>73</v>
      </c>
      <c r="D16" s="595">
        <v>1170169.18</v>
      </c>
      <c r="E16" s="595">
        <v>2102544</v>
      </c>
      <c r="F16" s="595">
        <f>805237.94+37585.94</f>
        <v>842823.87999999989</v>
      </c>
      <c r="G16" s="701">
        <f t="shared" ref="G16:G29" si="0">H16-F16</f>
        <v>1052859</v>
      </c>
      <c r="H16" s="595">
        <f>1858096.94+37585.94</f>
        <v>1895682.88</v>
      </c>
      <c r="I16" s="702">
        <f>[1]Agric!$L$42</f>
        <v>2282748</v>
      </c>
      <c r="J16" s="371"/>
      <c r="K16" s="469"/>
    </row>
    <row r="17" spans="1:11" x14ac:dyDescent="0.25">
      <c r="A17" s="588"/>
      <c r="B17" s="99" t="s">
        <v>220</v>
      </c>
      <c r="C17" s="28" t="s">
        <v>86</v>
      </c>
      <c r="D17" s="595">
        <v>101530</v>
      </c>
      <c r="E17" s="595">
        <v>60000</v>
      </c>
      <c r="F17" s="595">
        <v>13680</v>
      </c>
      <c r="G17" s="701">
        <f t="shared" si="0"/>
        <v>209470</v>
      </c>
      <c r="H17" s="595">
        <v>223150</v>
      </c>
      <c r="I17" s="702">
        <f>[1]Agric!$M$42</f>
        <v>60000</v>
      </c>
      <c r="J17" s="45"/>
      <c r="K17" s="469"/>
    </row>
    <row r="18" spans="1:11" x14ac:dyDescent="0.25">
      <c r="A18" s="588"/>
      <c r="B18" s="703" t="s">
        <v>221</v>
      </c>
      <c r="C18" s="704" t="s">
        <v>74</v>
      </c>
      <c r="D18" s="595">
        <v>132727.26999999999</v>
      </c>
      <c r="E18" s="595">
        <v>216000</v>
      </c>
      <c r="F18" s="595">
        <v>84000</v>
      </c>
      <c r="G18" s="701">
        <f t="shared" si="0"/>
        <v>90500</v>
      </c>
      <c r="H18" s="595">
        <v>174500</v>
      </c>
      <c r="I18" s="702">
        <f>[1]Agric!$N$42</f>
        <v>192000</v>
      </c>
      <c r="J18" s="609"/>
      <c r="K18" s="705"/>
    </row>
    <row r="19" spans="1:11" x14ac:dyDescent="0.25">
      <c r="A19" s="588"/>
      <c r="B19" s="703" t="s">
        <v>224</v>
      </c>
      <c r="C19" s="704" t="s">
        <v>75</v>
      </c>
      <c r="D19" s="595">
        <v>67500</v>
      </c>
      <c r="E19" s="595">
        <v>178500</v>
      </c>
      <c r="F19" s="595">
        <v>33750</v>
      </c>
      <c r="G19" s="701">
        <f t="shared" si="0"/>
        <v>48750</v>
      </c>
      <c r="H19" s="595">
        <v>82500</v>
      </c>
      <c r="I19" s="702">
        <f>[1]Agric!$O$42</f>
        <v>112500</v>
      </c>
      <c r="J19" s="609"/>
      <c r="K19" s="705"/>
    </row>
    <row r="20" spans="1:11" x14ac:dyDescent="0.25">
      <c r="A20" s="588"/>
      <c r="B20" s="703" t="s">
        <v>223</v>
      </c>
      <c r="C20" s="704" t="s">
        <v>76</v>
      </c>
      <c r="D20" s="595">
        <v>67500</v>
      </c>
      <c r="E20" s="595">
        <v>178500</v>
      </c>
      <c r="F20" s="595">
        <v>33750</v>
      </c>
      <c r="G20" s="701">
        <f t="shared" si="0"/>
        <v>48750</v>
      </c>
      <c r="H20" s="595">
        <v>82500</v>
      </c>
      <c r="I20" s="702">
        <f>[1]Agric!$P$42</f>
        <v>112500</v>
      </c>
      <c r="J20" s="609"/>
      <c r="K20" s="705"/>
    </row>
    <row r="21" spans="1:11" x14ac:dyDescent="0.25">
      <c r="A21" s="588"/>
      <c r="B21" s="703" t="s">
        <v>222</v>
      </c>
      <c r="C21" s="704" t="s">
        <v>77</v>
      </c>
      <c r="D21" s="595">
        <v>30000</v>
      </c>
      <c r="E21" s="595">
        <v>45000</v>
      </c>
      <c r="F21" s="595"/>
      <c r="G21" s="701">
        <f t="shared" si="0"/>
        <v>36000</v>
      </c>
      <c r="H21" s="595">
        <v>36000</v>
      </c>
      <c r="I21" s="702">
        <f>[1]Agric!$Q$42</f>
        <v>48000</v>
      </c>
      <c r="J21" s="609"/>
      <c r="K21" s="705"/>
    </row>
    <row r="22" spans="1:11" x14ac:dyDescent="0.25">
      <c r="A22" s="588"/>
      <c r="B22" s="703" t="s">
        <v>225</v>
      </c>
      <c r="C22" s="704" t="s">
        <v>78</v>
      </c>
      <c r="D22" s="595">
        <v>30000</v>
      </c>
      <c r="E22" s="595">
        <v>40000</v>
      </c>
      <c r="F22" s="595"/>
      <c r="G22" s="701">
        <f t="shared" si="0"/>
        <v>40000</v>
      </c>
      <c r="H22" s="595">
        <v>40000</v>
      </c>
      <c r="I22" s="706">
        <f>[1]Agric!$R$42</f>
        <v>40000</v>
      </c>
      <c r="J22" s="609"/>
      <c r="K22" s="705"/>
    </row>
    <row r="23" spans="1:11" x14ac:dyDescent="0.25">
      <c r="A23" s="588"/>
      <c r="B23" s="703" t="s">
        <v>226</v>
      </c>
      <c r="C23" s="704" t="s">
        <v>80</v>
      </c>
      <c r="D23" s="595">
        <f>113446+114240</f>
        <v>227686</v>
      </c>
      <c r="E23" s="595">
        <f>241122+372296</f>
        <v>613418</v>
      </c>
      <c r="F23" s="595">
        <f>137050</f>
        <v>137050</v>
      </c>
      <c r="G23" s="701">
        <f t="shared" si="0"/>
        <v>160926</v>
      </c>
      <c r="H23" s="595">
        <f>160926+137050</f>
        <v>297976</v>
      </c>
      <c r="I23" s="702">
        <f>[1]Agric!$S$42</f>
        <v>380458</v>
      </c>
      <c r="J23" s="609"/>
      <c r="K23" s="705"/>
    </row>
    <row r="24" spans="1:11" x14ac:dyDescent="0.25">
      <c r="A24" s="588"/>
      <c r="B24" s="703" t="s">
        <v>227</v>
      </c>
      <c r="C24" s="704" t="s">
        <v>79</v>
      </c>
      <c r="D24" s="595">
        <v>30000</v>
      </c>
      <c r="E24" s="595">
        <v>45000</v>
      </c>
      <c r="F24" s="595"/>
      <c r="G24" s="701">
        <f t="shared" si="0"/>
        <v>37000</v>
      </c>
      <c r="H24" s="595">
        <v>37000</v>
      </c>
      <c r="I24" s="702">
        <f>[1]Agric!$T$42</f>
        <v>40000</v>
      </c>
      <c r="J24" s="609"/>
      <c r="K24" s="705"/>
    </row>
    <row r="25" spans="1:11" x14ac:dyDescent="0.25">
      <c r="A25" s="588"/>
      <c r="B25" s="703" t="s">
        <v>228</v>
      </c>
      <c r="C25" s="704" t="s">
        <v>81</v>
      </c>
      <c r="D25" s="595">
        <v>109585.62</v>
      </c>
      <c r="E25" s="595">
        <v>268053.12</v>
      </c>
      <c r="F25" s="595">
        <f>96628.55+4510.31</f>
        <v>101138.86</v>
      </c>
      <c r="G25" s="701">
        <f t="shared" si="0"/>
        <v>126527.87999999999</v>
      </c>
      <c r="H25" s="595">
        <f>223156.43+4510.31</f>
        <v>227666.74</v>
      </c>
      <c r="I25" s="702">
        <f>[1]Agric!$U$42</f>
        <v>273929.76</v>
      </c>
      <c r="J25" s="609"/>
      <c r="K25" s="705"/>
    </row>
    <row r="26" spans="1:11" x14ac:dyDescent="0.25">
      <c r="A26" s="588"/>
      <c r="B26" s="703" t="s">
        <v>229</v>
      </c>
      <c r="C26" s="704" t="s">
        <v>82</v>
      </c>
      <c r="D26" s="595">
        <v>4900</v>
      </c>
      <c r="E26" s="595">
        <v>9600</v>
      </c>
      <c r="F26" s="595">
        <v>4200</v>
      </c>
      <c r="G26" s="701">
        <f t="shared" si="0"/>
        <v>4700</v>
      </c>
      <c r="H26" s="595">
        <v>8900</v>
      </c>
      <c r="I26" s="702">
        <f>[1]Agric!$V$42</f>
        <v>9600</v>
      </c>
      <c r="J26" s="609"/>
      <c r="K26" s="705"/>
    </row>
    <row r="27" spans="1:11" x14ac:dyDescent="0.25">
      <c r="A27" s="588"/>
      <c r="B27" s="703" t="s">
        <v>230</v>
      </c>
      <c r="C27" s="704" t="s">
        <v>83</v>
      </c>
      <c r="D27" s="595">
        <v>14650</v>
      </c>
      <c r="E27" s="595">
        <v>20550</v>
      </c>
      <c r="F27" s="595">
        <v>9719.3799999999992</v>
      </c>
      <c r="G27" s="701">
        <f t="shared" si="0"/>
        <v>10721.22</v>
      </c>
      <c r="H27" s="595">
        <v>20440.599999999999</v>
      </c>
      <c r="I27" s="702">
        <f>[1]Agric!$W$42</f>
        <v>25843.455000000002</v>
      </c>
      <c r="J27" s="609"/>
      <c r="K27" s="705"/>
    </row>
    <row r="28" spans="1:11" x14ac:dyDescent="0.25">
      <c r="A28" s="588"/>
      <c r="B28" s="703" t="s">
        <v>231</v>
      </c>
      <c r="C28" s="704" t="s">
        <v>84</v>
      </c>
      <c r="D28" s="595">
        <v>4713.54</v>
      </c>
      <c r="E28" s="595">
        <v>22337.759999999998</v>
      </c>
      <c r="F28" s="595">
        <f>4660.34+710.54</f>
        <v>5370.88</v>
      </c>
      <c r="G28" s="701">
        <f t="shared" si="0"/>
        <v>6659.5000000000009</v>
      </c>
      <c r="H28" s="595">
        <f>11319.84+710.54</f>
        <v>12030.380000000001</v>
      </c>
      <c r="I28" s="702">
        <f>[1]Agric!$X$42</f>
        <v>22827.48</v>
      </c>
      <c r="J28" s="609"/>
      <c r="K28" s="705"/>
    </row>
    <row r="29" spans="1:11" x14ac:dyDescent="0.25">
      <c r="A29" s="588"/>
      <c r="B29" s="703" t="s">
        <v>233</v>
      </c>
      <c r="C29" s="704" t="s">
        <v>85</v>
      </c>
      <c r="D29" s="595">
        <v>109345.38</v>
      </c>
      <c r="E29" s="595">
        <v>171821.43</v>
      </c>
      <c r="F29" s="595">
        <v>118715.01</v>
      </c>
      <c r="G29" s="701">
        <f t="shared" si="0"/>
        <v>21000.000000000015</v>
      </c>
      <c r="H29" s="595">
        <v>139715.01</v>
      </c>
      <c r="I29" s="702">
        <f>[1]Agric!$Z$42</f>
        <v>183352.98256599999</v>
      </c>
      <c r="J29" s="609"/>
      <c r="K29" s="705"/>
    </row>
    <row r="30" spans="1:11" x14ac:dyDescent="0.25">
      <c r="A30" s="611" t="s">
        <v>71</v>
      </c>
      <c r="B30" s="555"/>
      <c r="C30" s="707"/>
      <c r="D30" s="557">
        <f t="shared" ref="D30:H30" si="1">SUM(D16:D29)</f>
        <v>2100306.9899999998</v>
      </c>
      <c r="E30" s="557">
        <f t="shared" si="1"/>
        <v>3971324.31</v>
      </c>
      <c r="F30" s="557">
        <f t="shared" si="1"/>
        <v>1384198.0099999998</v>
      </c>
      <c r="G30" s="557">
        <f t="shared" si="1"/>
        <v>1893863.5999999999</v>
      </c>
      <c r="H30" s="557">
        <f t="shared" si="1"/>
        <v>3278061.6100000003</v>
      </c>
      <c r="I30" s="557">
        <f>SUM(I16:I29)</f>
        <v>3783759.6775659998</v>
      </c>
      <c r="J30" s="593"/>
      <c r="K30" s="708"/>
    </row>
    <row r="31" spans="1:11" x14ac:dyDescent="0.25">
      <c r="A31" s="623" t="s">
        <v>14</v>
      </c>
      <c r="B31" s="624"/>
      <c r="C31" s="709"/>
      <c r="D31" s="130"/>
      <c r="E31" s="130"/>
      <c r="F31" s="130"/>
      <c r="G31" s="130"/>
      <c r="H31" s="130"/>
      <c r="I31" s="130"/>
    </row>
    <row r="32" spans="1:11" x14ac:dyDescent="0.25">
      <c r="A32" s="588"/>
      <c r="B32" s="99" t="s">
        <v>234</v>
      </c>
      <c r="C32" s="28" t="s">
        <v>92</v>
      </c>
      <c r="D32" s="701">
        <v>209987.55</v>
      </c>
      <c r="E32" s="710">
        <v>170000</v>
      </c>
      <c r="F32" s="711">
        <v>115950.64</v>
      </c>
      <c r="G32" s="701">
        <f>H32-F32</f>
        <v>56321.479999999996</v>
      </c>
      <c r="H32" s="701">
        <v>172272.12</v>
      </c>
      <c r="I32" s="710">
        <v>170000</v>
      </c>
    </row>
    <row r="33" spans="1:10" x14ac:dyDescent="0.25">
      <c r="A33" s="588"/>
      <c r="B33" s="99" t="s">
        <v>235</v>
      </c>
      <c r="C33" s="28" t="s">
        <v>93</v>
      </c>
      <c r="D33" s="701">
        <v>19085</v>
      </c>
      <c r="E33" s="710">
        <v>42000</v>
      </c>
      <c r="F33" s="711">
        <v>10000</v>
      </c>
      <c r="G33" s="701">
        <f>H33-F33</f>
        <v>31876.86</v>
      </c>
      <c r="H33" s="701">
        <v>41876.86</v>
      </c>
      <c r="I33" s="710">
        <v>42000</v>
      </c>
    </row>
    <row r="34" spans="1:10" x14ac:dyDescent="0.25">
      <c r="A34" s="588"/>
      <c r="B34" s="99" t="s">
        <v>236</v>
      </c>
      <c r="C34" s="28" t="s">
        <v>94</v>
      </c>
      <c r="D34" s="701">
        <v>29633.279999999999</v>
      </c>
      <c r="E34" s="710">
        <v>40000</v>
      </c>
      <c r="F34" s="711">
        <v>21602.560000000001</v>
      </c>
      <c r="G34" s="701">
        <f>H34-F34</f>
        <v>16147.630000000001</v>
      </c>
      <c r="H34" s="701">
        <v>37750.19</v>
      </c>
      <c r="I34" s="710">
        <v>40000</v>
      </c>
    </row>
    <row r="35" spans="1:10" x14ac:dyDescent="0.25">
      <c r="A35" s="588"/>
      <c r="B35" s="99" t="s">
        <v>237</v>
      </c>
      <c r="C35" s="28" t="s">
        <v>95</v>
      </c>
      <c r="D35" s="701"/>
      <c r="E35" s="710">
        <v>18000</v>
      </c>
      <c r="F35" s="711">
        <v>4000</v>
      </c>
      <c r="G35" s="701">
        <f t="shared" ref="G35:G44" si="2">H35-F35</f>
        <v>14000</v>
      </c>
      <c r="H35" s="701">
        <v>18000</v>
      </c>
      <c r="I35" s="710">
        <v>24000</v>
      </c>
    </row>
    <row r="36" spans="1:10" x14ac:dyDescent="0.25">
      <c r="A36" s="588"/>
      <c r="B36" s="99" t="s">
        <v>255</v>
      </c>
      <c r="C36" s="28" t="s">
        <v>96</v>
      </c>
      <c r="D36" s="701"/>
      <c r="E36" s="712">
        <v>140000</v>
      </c>
      <c r="F36" s="711">
        <v>92680</v>
      </c>
      <c r="G36" s="701">
        <f t="shared" si="2"/>
        <v>46940</v>
      </c>
      <c r="H36" s="701">
        <v>139620</v>
      </c>
      <c r="I36" s="712">
        <v>134000</v>
      </c>
    </row>
    <row r="37" spans="1:10" x14ac:dyDescent="0.25">
      <c r="A37" s="588"/>
      <c r="B37" s="99" t="s">
        <v>240</v>
      </c>
      <c r="C37" s="28" t="s">
        <v>99</v>
      </c>
      <c r="D37" s="701"/>
      <c r="E37" s="710"/>
      <c r="F37" s="711"/>
      <c r="G37" s="701">
        <f t="shared" si="2"/>
        <v>0</v>
      </c>
      <c r="H37" s="701"/>
      <c r="I37" s="710"/>
    </row>
    <row r="38" spans="1:10" x14ac:dyDescent="0.25">
      <c r="A38" s="588"/>
      <c r="B38" s="99" t="s">
        <v>283</v>
      </c>
      <c r="C38" s="28" t="s">
        <v>137</v>
      </c>
      <c r="D38" s="701"/>
      <c r="E38" s="710"/>
      <c r="F38" s="711"/>
      <c r="G38" s="701">
        <f t="shared" si="2"/>
        <v>0</v>
      </c>
      <c r="H38" s="701"/>
      <c r="I38" s="710"/>
    </row>
    <row r="39" spans="1:10" x14ac:dyDescent="0.25">
      <c r="A39" s="588"/>
      <c r="B39" s="151" t="s">
        <v>268</v>
      </c>
      <c r="C39" s="28" t="s">
        <v>98</v>
      </c>
      <c r="D39" s="701"/>
      <c r="E39" s="713"/>
      <c r="F39" s="711"/>
      <c r="G39" s="701">
        <f t="shared" si="2"/>
        <v>0</v>
      </c>
      <c r="H39" s="701"/>
      <c r="I39" s="713"/>
    </row>
    <row r="40" spans="1:10" hidden="1" x14ac:dyDescent="0.25">
      <c r="A40" s="588"/>
      <c r="B40" s="700" t="s">
        <v>16</v>
      </c>
      <c r="C40" s="709"/>
      <c r="D40" s="701"/>
      <c r="E40" s="712"/>
      <c r="F40" s="711"/>
      <c r="G40" s="701">
        <f t="shared" si="2"/>
        <v>0</v>
      </c>
      <c r="H40" s="701"/>
      <c r="I40" s="712"/>
    </row>
    <row r="41" spans="1:10" hidden="1" x14ac:dyDescent="0.25">
      <c r="A41" s="588"/>
      <c r="B41" s="700" t="s">
        <v>17</v>
      </c>
      <c r="C41" s="709"/>
      <c r="D41" s="701"/>
      <c r="E41" s="712"/>
      <c r="F41" s="711"/>
      <c r="G41" s="701">
        <f t="shared" si="2"/>
        <v>0</v>
      </c>
      <c r="H41" s="701"/>
      <c r="I41" s="712"/>
    </row>
    <row r="42" spans="1:10" hidden="1" x14ac:dyDescent="0.25">
      <c r="A42" s="588"/>
      <c r="B42" s="700" t="s">
        <v>18</v>
      </c>
      <c r="C42" s="709"/>
      <c r="D42" s="701"/>
      <c r="E42" s="712"/>
      <c r="F42" s="711"/>
      <c r="G42" s="701">
        <f t="shared" si="2"/>
        <v>0</v>
      </c>
      <c r="H42" s="701"/>
      <c r="I42" s="712"/>
    </row>
    <row r="43" spans="1:10" hidden="1" x14ac:dyDescent="0.25">
      <c r="A43" s="588"/>
      <c r="B43" s="700" t="s">
        <v>19</v>
      </c>
      <c r="C43" s="709"/>
      <c r="D43" s="701"/>
      <c r="E43" s="712"/>
      <c r="F43" s="711"/>
      <c r="G43" s="701">
        <f t="shared" si="2"/>
        <v>0</v>
      </c>
      <c r="H43" s="701"/>
      <c r="I43" s="712"/>
    </row>
    <row r="44" spans="1:10" x14ac:dyDescent="0.25">
      <c r="A44" s="588"/>
      <c r="B44" s="151" t="s">
        <v>61</v>
      </c>
      <c r="C44" s="28" t="s">
        <v>97</v>
      </c>
      <c r="D44" s="701">
        <v>148843</v>
      </c>
      <c r="E44" s="712"/>
      <c r="F44" s="711"/>
      <c r="G44" s="701">
        <f t="shared" si="2"/>
        <v>0</v>
      </c>
      <c r="H44" s="701"/>
      <c r="I44" s="712"/>
    </row>
    <row r="45" spans="1:10" x14ac:dyDescent="0.25">
      <c r="A45" s="714" t="s">
        <v>68</v>
      </c>
      <c r="B45" s="715"/>
      <c r="C45" s="603"/>
      <c r="D45" s="143">
        <f>SUM(D32:D44)</f>
        <v>407548.82999999996</v>
      </c>
      <c r="E45" s="143">
        <f t="shared" ref="E45:H45" si="3">SUM(E32:E44)</f>
        <v>410000</v>
      </c>
      <c r="F45" s="143">
        <f t="shared" si="3"/>
        <v>244233.2</v>
      </c>
      <c r="G45" s="143">
        <f t="shared" si="3"/>
        <v>165285.97</v>
      </c>
      <c r="H45" s="143">
        <f t="shared" si="3"/>
        <v>409519.17</v>
      </c>
      <c r="I45" s="143">
        <f>SUM(I32:I44)</f>
        <v>410000</v>
      </c>
      <c r="J45" s="593"/>
    </row>
    <row r="46" spans="1:10" x14ac:dyDescent="0.25">
      <c r="A46" s="623" t="s">
        <v>13</v>
      </c>
      <c r="B46" s="624"/>
      <c r="C46" s="130"/>
      <c r="D46" s="130"/>
      <c r="E46" s="130"/>
      <c r="F46" s="130"/>
      <c r="G46" s="130"/>
      <c r="H46" s="130"/>
      <c r="I46" s="130"/>
    </row>
    <row r="47" spans="1:10" x14ac:dyDescent="0.25">
      <c r="A47" s="588"/>
      <c r="B47" s="99" t="s">
        <v>243</v>
      </c>
      <c r="C47" s="709" t="s">
        <v>110</v>
      </c>
      <c r="D47" s="130"/>
      <c r="E47" s="130"/>
      <c r="F47" s="130"/>
      <c r="G47" s="130"/>
      <c r="H47" s="130"/>
      <c r="I47" s="130"/>
    </row>
    <row r="48" spans="1:10" x14ac:dyDescent="0.25">
      <c r="A48" s="588"/>
      <c r="B48" s="99" t="s">
        <v>244</v>
      </c>
      <c r="C48" s="716" t="s">
        <v>108</v>
      </c>
      <c r="D48" s="130"/>
      <c r="E48" s="130"/>
      <c r="F48" s="130"/>
      <c r="G48" s="130"/>
      <c r="H48" s="130"/>
      <c r="I48" s="130"/>
    </row>
    <row r="49" spans="1:11" x14ac:dyDescent="0.25">
      <c r="A49" s="588"/>
      <c r="B49" s="45" t="s">
        <v>245</v>
      </c>
      <c r="C49" s="716" t="s">
        <v>107</v>
      </c>
      <c r="D49" s="711">
        <v>54238.52</v>
      </c>
      <c r="E49" s="711">
        <v>182000</v>
      </c>
      <c r="F49" s="711">
        <v>39898.85</v>
      </c>
      <c r="G49" s="701">
        <f t="shared" ref="G49" si="4">H49-F49</f>
        <v>103303.65</v>
      </c>
      <c r="H49" s="711">
        <v>143202.5</v>
      </c>
      <c r="I49" s="711"/>
    </row>
    <row r="50" spans="1:11" x14ac:dyDescent="0.25">
      <c r="A50" s="696" t="s">
        <v>72</v>
      </c>
      <c r="B50" s="606"/>
      <c r="C50" s="143"/>
      <c r="D50" s="143">
        <f>SUM(D47:D49)</f>
        <v>54238.52</v>
      </c>
      <c r="E50" s="143">
        <f>SUM(E47:E49)</f>
        <v>182000</v>
      </c>
      <c r="F50" s="143">
        <f>SUM(F47:F49)</f>
        <v>39898.85</v>
      </c>
      <c r="G50" s="143">
        <f t="shared" ref="G50:H50" si="5">SUM(G47:G49)</f>
        <v>103303.65</v>
      </c>
      <c r="H50" s="143">
        <f t="shared" si="5"/>
        <v>143202.5</v>
      </c>
      <c r="I50" s="143">
        <f>SUM(I47:I49)</f>
        <v>0</v>
      </c>
    </row>
    <row r="51" spans="1:11" x14ac:dyDescent="0.25">
      <c r="A51" s="696" t="s">
        <v>20</v>
      </c>
      <c r="B51" s="606"/>
      <c r="C51" s="603"/>
      <c r="D51" s="580">
        <f t="shared" ref="D51:H51" si="6">D30+D45+D50</f>
        <v>2562094.34</v>
      </c>
      <c r="E51" s="580">
        <f t="shared" si="6"/>
        <v>4563324.3100000005</v>
      </c>
      <c r="F51" s="580">
        <f t="shared" si="6"/>
        <v>1668330.0599999998</v>
      </c>
      <c r="G51" s="580">
        <f t="shared" si="6"/>
        <v>2162453.2199999997</v>
      </c>
      <c r="H51" s="580">
        <f t="shared" si="6"/>
        <v>3830783.2800000003</v>
      </c>
      <c r="I51" s="580">
        <f>I30+I45+I50</f>
        <v>4193759.6775659998</v>
      </c>
      <c r="J51" s="593"/>
    </row>
    <row r="52" spans="1:11" x14ac:dyDescent="0.25">
      <c r="B52" s="150"/>
      <c r="C52" s="151"/>
      <c r="D52" s="152"/>
      <c r="E52" s="152"/>
      <c r="F52" s="152"/>
      <c r="G52" s="149"/>
      <c r="H52" s="149"/>
      <c r="I52" s="149"/>
    </row>
    <row r="53" spans="1:11" x14ac:dyDescent="0.25">
      <c r="B53" s="153" t="s">
        <v>22</v>
      </c>
      <c r="C53" s="36" t="s">
        <v>23</v>
      </c>
      <c r="D53" s="36"/>
      <c r="E53" s="36"/>
      <c r="F53" s="113"/>
      <c r="G53" s="36" t="s">
        <v>24</v>
      </c>
      <c r="H53" s="36"/>
      <c r="I53" s="36"/>
    </row>
    <row r="54" spans="1:11" x14ac:dyDescent="0.25">
      <c r="B54" s="36"/>
      <c r="C54" s="36"/>
      <c r="D54" s="36"/>
      <c r="E54" s="36"/>
      <c r="F54" s="113"/>
      <c r="G54" s="36"/>
      <c r="H54" s="36"/>
      <c r="I54" s="36"/>
      <c r="K54" s="708"/>
    </row>
    <row r="55" spans="1:11" x14ac:dyDescent="0.25">
      <c r="B55" s="216" t="s">
        <v>55</v>
      </c>
      <c r="C55" s="1128" t="s">
        <v>51</v>
      </c>
      <c r="D55" s="1128"/>
      <c r="E55" s="1128"/>
      <c r="F55" s="1128"/>
      <c r="G55" s="1085" t="s">
        <v>117</v>
      </c>
      <c r="H55" s="1085"/>
      <c r="I55" s="1085"/>
    </row>
    <row r="56" spans="1:11" x14ac:dyDescent="0.25">
      <c r="B56" s="206" t="s">
        <v>63</v>
      </c>
      <c r="C56" s="1070" t="s">
        <v>64</v>
      </c>
      <c r="D56" s="1070"/>
      <c r="E56" s="1070"/>
      <c r="F56" s="1070"/>
      <c r="G56" s="1070" t="s">
        <v>67</v>
      </c>
      <c r="H56" s="1070"/>
      <c r="I56" s="1070"/>
    </row>
    <row r="62" spans="1:11" x14ac:dyDescent="0.25">
      <c r="D62" s="157"/>
      <c r="E62" s="157"/>
      <c r="F62" s="157"/>
      <c r="G62" s="157"/>
      <c r="H62" s="157"/>
      <c r="I62" s="157"/>
    </row>
    <row r="63" spans="1:11" x14ac:dyDescent="0.25">
      <c r="D63" s="157"/>
      <c r="E63" s="157"/>
      <c r="F63" s="157"/>
      <c r="G63" s="157"/>
      <c r="H63" s="157"/>
      <c r="I63" s="157"/>
    </row>
    <row r="64" spans="1:11" x14ac:dyDescent="0.25">
      <c r="D64" s="157"/>
      <c r="E64" s="157"/>
      <c r="F64" s="157"/>
      <c r="G64" s="157"/>
      <c r="H64" s="157"/>
      <c r="I64" s="157"/>
    </row>
    <row r="65" spans="4:9" x14ac:dyDescent="0.25">
      <c r="D65" s="157"/>
      <c r="E65" s="157"/>
      <c r="F65" s="157"/>
      <c r="G65" s="157"/>
      <c r="H65" s="157"/>
      <c r="I65" s="157"/>
    </row>
    <row r="66" spans="4:9" x14ac:dyDescent="0.25">
      <c r="D66" s="157"/>
      <c r="E66" s="157"/>
      <c r="F66" s="157"/>
      <c r="G66" s="157"/>
      <c r="H66" s="157"/>
      <c r="I66" s="157"/>
    </row>
    <row r="67" spans="4:9" x14ac:dyDescent="0.25">
      <c r="D67" s="157"/>
      <c r="E67" s="157"/>
      <c r="F67" s="157"/>
      <c r="G67" s="157"/>
      <c r="H67" s="157"/>
      <c r="I67" s="157"/>
    </row>
    <row r="68" spans="4:9" x14ac:dyDescent="0.25">
      <c r="D68" s="157"/>
      <c r="E68" s="157"/>
      <c r="F68" s="157"/>
      <c r="G68" s="157"/>
      <c r="H68" s="157"/>
      <c r="I68" s="157"/>
    </row>
    <row r="69" spans="4:9" x14ac:dyDescent="0.25">
      <c r="D69" s="157"/>
      <c r="E69" s="157"/>
      <c r="F69" s="157"/>
      <c r="G69" s="157"/>
      <c r="H69" s="157"/>
      <c r="I69" s="157"/>
    </row>
    <row r="70" spans="4:9" x14ac:dyDescent="0.25">
      <c r="D70" s="157"/>
      <c r="E70" s="157"/>
      <c r="F70" s="157"/>
      <c r="G70" s="157"/>
      <c r="H70" s="157"/>
      <c r="I70" s="157"/>
    </row>
    <row r="71" spans="4:9" x14ac:dyDescent="0.25">
      <c r="D71" s="157"/>
      <c r="E71" s="157"/>
      <c r="F71" s="157"/>
      <c r="G71" s="157"/>
      <c r="H71" s="157"/>
      <c r="I71" s="157"/>
    </row>
  </sheetData>
  <sheetProtection algorithmName="SHA-512" hashValue="QbJ3bHqMBuL/IKRKbRUzu4wqrD20JdnlATixPHCjjqthWj+VfQqR4CSRSCCYP1Qbl3hioEV1489Ov0d3212oxQ==" saltValue="+aMPtLn+rbcKNDIQvS/1dg==" spinCount="100000" sheet="1" objects="1" scenarios="1" selectLockedCells="1" selectUnlockedCells="1"/>
  <mergeCells count="10">
    <mergeCell ref="C55:F55"/>
    <mergeCell ref="G55:I55"/>
    <mergeCell ref="C56:F56"/>
    <mergeCell ref="G56:I56"/>
    <mergeCell ref="B3:I3"/>
    <mergeCell ref="B10:B11"/>
    <mergeCell ref="C10:C11"/>
    <mergeCell ref="F10:H10"/>
    <mergeCell ref="B4:I4"/>
    <mergeCell ref="E10:E14"/>
  </mergeCells>
  <printOptions horizontalCentered="1"/>
  <pageMargins left="0.47" right="0" top="0.75" bottom="0" header="0" footer="0"/>
  <pageSetup scale="65" orientation="portrait" r:id="rId1"/>
  <headerFooter>
    <oddHeader>&amp;R&amp;D   &amp;T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92D050"/>
  </sheetPr>
  <dimension ref="A1:M53"/>
  <sheetViews>
    <sheetView topLeftCell="A40" zoomScale="120" zoomScaleNormal="120" workbookViewId="0">
      <selection activeCell="D61" sqref="D61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16.7109375" style="41" customWidth="1"/>
    <col min="11" max="11" width="12.28515625" style="41" bestFit="1" customWidth="1"/>
    <col min="12" max="16384" width="9.140625" style="41"/>
  </cols>
  <sheetData>
    <row r="1" spans="1:9" x14ac:dyDescent="0.25">
      <c r="A1" s="41" t="s">
        <v>9</v>
      </c>
      <c r="I1" s="41" t="s">
        <v>27</v>
      </c>
    </row>
    <row r="2" spans="1:9" ht="6.75" customHeight="1" x14ac:dyDescent="0.25"/>
    <row r="3" spans="1:9" ht="15" customHeight="1" x14ac:dyDescent="0.25">
      <c r="B3" s="1067" t="s">
        <v>10</v>
      </c>
      <c r="C3" s="1067"/>
      <c r="D3" s="1067"/>
      <c r="E3" s="1067"/>
      <c r="F3" s="1067"/>
      <c r="G3" s="1067"/>
      <c r="H3" s="1067"/>
      <c r="I3" s="1067"/>
    </row>
    <row r="4" spans="1:9" ht="15" customHeight="1" x14ac:dyDescent="0.25">
      <c r="B4" s="1067" t="s">
        <v>47</v>
      </c>
      <c r="C4" s="1067"/>
      <c r="D4" s="1067"/>
      <c r="E4" s="1067"/>
      <c r="F4" s="1067"/>
      <c r="G4" s="1067"/>
      <c r="H4" s="1067"/>
      <c r="I4" s="1067"/>
    </row>
    <row r="5" spans="1:9" ht="15" customHeight="1" x14ac:dyDescent="0.25">
      <c r="B5" s="586" t="s">
        <v>155</v>
      </c>
      <c r="C5" s="118"/>
      <c r="D5" s="118"/>
      <c r="E5" s="118"/>
      <c r="F5" s="118"/>
      <c r="G5" s="118"/>
      <c r="H5" s="118"/>
      <c r="I5" s="118"/>
    </row>
    <row r="6" spans="1:9" ht="15" customHeight="1" x14ac:dyDescent="0.25">
      <c r="B6" s="118" t="s">
        <v>156</v>
      </c>
      <c r="C6" s="118"/>
      <c r="D6" s="118"/>
      <c r="E6" s="118"/>
      <c r="F6" s="118"/>
      <c r="G6" s="118"/>
      <c r="H6" s="118"/>
      <c r="I6" s="118"/>
    </row>
    <row r="7" spans="1:9" ht="15" customHeight="1" x14ac:dyDescent="0.25">
      <c r="B7" s="118" t="s">
        <v>157</v>
      </c>
      <c r="C7" s="118"/>
      <c r="D7" s="118"/>
      <c r="E7" s="118"/>
      <c r="F7" s="118"/>
      <c r="G7" s="118"/>
      <c r="H7" s="118"/>
      <c r="I7" s="118"/>
    </row>
    <row r="8" spans="1:9" ht="3.75" customHeight="1" x14ac:dyDescent="0.25"/>
    <row r="9" spans="1:9" x14ac:dyDescent="0.25">
      <c r="A9" s="617"/>
      <c r="B9" s="1129" t="s">
        <v>0</v>
      </c>
      <c r="C9" s="1120" t="s">
        <v>1</v>
      </c>
      <c r="D9" s="212" t="s">
        <v>2</v>
      </c>
      <c r="E9" s="1082" t="s">
        <v>105</v>
      </c>
      <c r="F9" s="1124" t="s">
        <v>8</v>
      </c>
      <c r="G9" s="1129"/>
      <c r="H9" s="1125"/>
      <c r="I9" s="212" t="s">
        <v>3</v>
      </c>
    </row>
    <row r="10" spans="1:9" ht="54" customHeight="1" x14ac:dyDescent="0.25">
      <c r="A10" s="588"/>
      <c r="B10" s="1064"/>
      <c r="C10" s="1121"/>
      <c r="D10" s="213" t="s">
        <v>4</v>
      </c>
      <c r="E10" s="1083"/>
      <c r="F10" s="618" t="s">
        <v>46</v>
      </c>
      <c r="G10" s="618" t="s">
        <v>45</v>
      </c>
      <c r="H10" s="212" t="s">
        <v>5</v>
      </c>
      <c r="I10" s="213" t="s">
        <v>6</v>
      </c>
    </row>
    <row r="11" spans="1:9" x14ac:dyDescent="0.25">
      <c r="A11" s="588"/>
      <c r="B11" s="619"/>
      <c r="C11" s="213"/>
      <c r="D11" s="213"/>
      <c r="E11" s="1083"/>
      <c r="F11" s="213" t="s">
        <v>4</v>
      </c>
      <c r="G11" s="213" t="s">
        <v>7</v>
      </c>
      <c r="H11" s="213"/>
      <c r="I11" s="213"/>
    </row>
    <row r="12" spans="1:9" x14ac:dyDescent="0.25">
      <c r="A12" s="588"/>
      <c r="B12" s="619"/>
      <c r="C12" s="213"/>
      <c r="D12" s="213">
        <v>2017</v>
      </c>
      <c r="E12" s="1083"/>
      <c r="F12" s="129">
        <v>2018</v>
      </c>
      <c r="G12" s="129">
        <v>2018</v>
      </c>
      <c r="H12" s="129"/>
      <c r="I12" s="213">
        <v>2019</v>
      </c>
    </row>
    <row r="13" spans="1:9" x14ac:dyDescent="0.25">
      <c r="A13" s="590"/>
      <c r="B13" s="426">
        <v>1</v>
      </c>
      <c r="C13" s="214">
        <v>2</v>
      </c>
      <c r="D13" s="214">
        <v>3</v>
      </c>
      <c r="E13" s="1084"/>
      <c r="F13" s="214">
        <v>4</v>
      </c>
      <c r="G13" s="214">
        <v>5</v>
      </c>
      <c r="H13" s="214">
        <v>6</v>
      </c>
      <c r="I13" s="214">
        <v>7</v>
      </c>
    </row>
    <row r="14" spans="1:9" x14ac:dyDescent="0.25">
      <c r="A14" s="620" t="s">
        <v>11</v>
      </c>
      <c r="B14" s="620"/>
      <c r="C14" s="213"/>
      <c r="D14" s="213"/>
      <c r="E14" s="213"/>
      <c r="F14" s="213"/>
      <c r="G14" s="213"/>
      <c r="H14" s="213"/>
      <c r="I14" s="213"/>
    </row>
    <row r="15" spans="1:9" x14ac:dyDescent="0.25">
      <c r="A15" s="689"/>
      <c r="B15" s="478" t="s">
        <v>219</v>
      </c>
      <c r="C15" s="47" t="s">
        <v>73</v>
      </c>
      <c r="D15" s="717">
        <v>725280</v>
      </c>
      <c r="E15" s="717">
        <v>1175304</v>
      </c>
      <c r="F15" s="717">
        <v>568174.4</v>
      </c>
      <c r="G15" s="718">
        <f>H15-F15</f>
        <v>615602.99999999988</v>
      </c>
      <c r="H15" s="717">
        <v>1183777.3999999999</v>
      </c>
      <c r="I15" s="481">
        <f>[1]MEO!$L$33</f>
        <v>1300332</v>
      </c>
    </row>
    <row r="16" spans="1:9" x14ac:dyDescent="0.25">
      <c r="A16" s="100"/>
      <c r="B16" s="478" t="s">
        <v>220</v>
      </c>
      <c r="C16" s="47" t="s">
        <v>86</v>
      </c>
      <c r="D16" s="717">
        <v>92400</v>
      </c>
      <c r="E16" s="717">
        <v>100000</v>
      </c>
      <c r="F16" s="717">
        <v>85500</v>
      </c>
      <c r="G16" s="718">
        <f t="shared" ref="G16:G28" si="0">H16-F16</f>
        <v>82409.100000000006</v>
      </c>
      <c r="H16" s="717">
        <v>167909.1</v>
      </c>
      <c r="I16" s="719">
        <f>[1]MEO!$M$33</f>
        <v>388000</v>
      </c>
    </row>
    <row r="17" spans="1:11" x14ac:dyDescent="0.25">
      <c r="A17" s="100"/>
      <c r="B17" s="482" t="s">
        <v>221</v>
      </c>
      <c r="C17" s="483" t="s">
        <v>74</v>
      </c>
      <c r="D17" s="717">
        <v>66000</v>
      </c>
      <c r="E17" s="717">
        <v>96000</v>
      </c>
      <c r="F17" s="717">
        <v>47909</v>
      </c>
      <c r="G17" s="718">
        <f t="shared" si="0"/>
        <v>48000</v>
      </c>
      <c r="H17" s="717">
        <v>95909</v>
      </c>
      <c r="I17" s="481">
        <f>[1]MEO!$N$33</f>
        <v>96000</v>
      </c>
    </row>
    <row r="18" spans="1:11" x14ac:dyDescent="0.25">
      <c r="A18" s="100"/>
      <c r="B18" s="482" t="s">
        <v>224</v>
      </c>
      <c r="C18" s="483" t="s">
        <v>75</v>
      </c>
      <c r="D18" s="717">
        <v>67500</v>
      </c>
      <c r="E18" s="717">
        <v>67500</v>
      </c>
      <c r="F18" s="717">
        <v>33750</v>
      </c>
      <c r="G18" s="718">
        <f t="shared" si="0"/>
        <v>33750</v>
      </c>
      <c r="H18" s="717">
        <v>67500</v>
      </c>
      <c r="I18" s="481">
        <f>[1]MEO!$O$33</f>
        <v>67500</v>
      </c>
    </row>
    <row r="19" spans="1:11" x14ac:dyDescent="0.25">
      <c r="A19" s="100"/>
      <c r="B19" s="482" t="s">
        <v>223</v>
      </c>
      <c r="C19" s="483" t="s">
        <v>76</v>
      </c>
      <c r="D19" s="717">
        <v>67500</v>
      </c>
      <c r="E19" s="717">
        <v>67500</v>
      </c>
      <c r="F19" s="717">
        <v>33750</v>
      </c>
      <c r="G19" s="718">
        <f t="shared" si="0"/>
        <v>33750</v>
      </c>
      <c r="H19" s="717">
        <v>67500</v>
      </c>
      <c r="I19" s="481">
        <f>[1]MEO!$P$33</f>
        <v>67500</v>
      </c>
    </row>
    <row r="20" spans="1:11" x14ac:dyDescent="0.25">
      <c r="A20" s="100"/>
      <c r="B20" s="482" t="s">
        <v>222</v>
      </c>
      <c r="C20" s="483" t="s">
        <v>77</v>
      </c>
      <c r="D20" s="717">
        <v>15000</v>
      </c>
      <c r="E20" s="717">
        <v>20000</v>
      </c>
      <c r="F20" s="717"/>
      <c r="G20" s="718">
        <f t="shared" si="0"/>
        <v>23000</v>
      </c>
      <c r="H20" s="717">
        <v>23000</v>
      </c>
      <c r="I20" s="481">
        <f>[1]MEO!$Q$33</f>
        <v>24000</v>
      </c>
    </row>
    <row r="21" spans="1:11" x14ac:dyDescent="0.25">
      <c r="A21" s="100"/>
      <c r="B21" s="482" t="s">
        <v>225</v>
      </c>
      <c r="C21" s="483" t="s">
        <v>78</v>
      </c>
      <c r="D21" s="717">
        <v>15000</v>
      </c>
      <c r="E21" s="717">
        <v>20000</v>
      </c>
      <c r="F21" s="717"/>
      <c r="G21" s="718">
        <f t="shared" si="0"/>
        <v>20000</v>
      </c>
      <c r="H21" s="717">
        <v>20000</v>
      </c>
      <c r="I21" s="481">
        <f>[1]MEO!$R$33</f>
        <v>20000</v>
      </c>
    </row>
    <row r="22" spans="1:11" x14ac:dyDescent="0.25">
      <c r="A22" s="100"/>
      <c r="B22" s="482" t="s">
        <v>226</v>
      </c>
      <c r="C22" s="483" t="s">
        <v>80</v>
      </c>
      <c r="D22" s="717">
        <f>72528+72528</f>
        <v>145056</v>
      </c>
      <c r="E22" s="717">
        <f>88739+97970</f>
        <v>186709</v>
      </c>
      <c r="F22" s="717">
        <v>97942</v>
      </c>
      <c r="G22" s="718">
        <f t="shared" si="0"/>
        <v>88739</v>
      </c>
      <c r="H22" s="717">
        <f>97942+88739</f>
        <v>186681</v>
      </c>
      <c r="I22" s="481">
        <f>[1]MEO!$S$33</f>
        <v>216722</v>
      </c>
    </row>
    <row r="23" spans="1:11" x14ac:dyDescent="0.25">
      <c r="A23" s="100"/>
      <c r="B23" s="482" t="s">
        <v>227</v>
      </c>
      <c r="C23" s="483" t="s">
        <v>79</v>
      </c>
      <c r="D23" s="717">
        <v>15000</v>
      </c>
      <c r="E23" s="717">
        <v>20000</v>
      </c>
      <c r="F23" s="717"/>
      <c r="G23" s="718">
        <f t="shared" si="0"/>
        <v>20000</v>
      </c>
      <c r="H23" s="717">
        <v>20000</v>
      </c>
      <c r="I23" s="481">
        <f>[1]MEO!$T$33</f>
        <v>20000</v>
      </c>
    </row>
    <row r="24" spans="1:11" x14ac:dyDescent="0.25">
      <c r="A24" s="100"/>
      <c r="B24" s="482" t="s">
        <v>228</v>
      </c>
      <c r="C24" s="483" t="s">
        <v>81</v>
      </c>
      <c r="D24" s="717">
        <v>69626.880000000005</v>
      </c>
      <c r="E24" s="717">
        <v>141076.79999999999</v>
      </c>
      <c r="F24" s="717">
        <v>68268.479999999996</v>
      </c>
      <c r="G24" s="718">
        <f t="shared" si="0"/>
        <v>72768.000000000015</v>
      </c>
      <c r="H24" s="717">
        <v>141036.48000000001</v>
      </c>
      <c r="I24" s="481">
        <f>[1]MEO!$U$33</f>
        <v>156039.84</v>
      </c>
    </row>
    <row r="25" spans="1:11" x14ac:dyDescent="0.25">
      <c r="A25" s="100"/>
      <c r="B25" s="482" t="s">
        <v>229</v>
      </c>
      <c r="C25" s="483" t="s">
        <v>82</v>
      </c>
      <c r="D25" s="717">
        <v>2400</v>
      </c>
      <c r="E25" s="717">
        <v>4800</v>
      </c>
      <c r="F25" s="717">
        <v>2400</v>
      </c>
      <c r="G25" s="718">
        <f t="shared" si="0"/>
        <v>2400</v>
      </c>
      <c r="H25" s="717">
        <v>4800</v>
      </c>
      <c r="I25" s="481">
        <f>[1]MEO!$V$33</f>
        <v>4800</v>
      </c>
    </row>
    <row r="26" spans="1:11" x14ac:dyDescent="0.25">
      <c r="A26" s="100"/>
      <c r="B26" s="482" t="s">
        <v>230</v>
      </c>
      <c r="C26" s="483" t="s">
        <v>83</v>
      </c>
      <c r="D26" s="717">
        <v>7950</v>
      </c>
      <c r="E26" s="717">
        <v>9150</v>
      </c>
      <c r="F26" s="717">
        <v>6369.38</v>
      </c>
      <c r="G26" s="718">
        <f t="shared" si="0"/>
        <v>5357.11</v>
      </c>
      <c r="H26" s="717">
        <v>11726.49</v>
      </c>
      <c r="I26" s="481">
        <f>[1]MEO!$W$33</f>
        <v>12919.5</v>
      </c>
    </row>
    <row r="27" spans="1:11" x14ac:dyDescent="0.25">
      <c r="A27" s="100"/>
      <c r="B27" s="485" t="s">
        <v>231</v>
      </c>
      <c r="C27" s="483" t="s">
        <v>84</v>
      </c>
      <c r="D27" s="717">
        <v>2306.52</v>
      </c>
      <c r="E27" s="717">
        <v>11756.4</v>
      </c>
      <c r="F27" s="717">
        <v>2354</v>
      </c>
      <c r="G27" s="718">
        <f t="shared" si="0"/>
        <v>4437.26</v>
      </c>
      <c r="H27" s="717">
        <v>6791.26</v>
      </c>
      <c r="I27" s="481">
        <f>[1]MEO!$X$33</f>
        <v>13003.32</v>
      </c>
    </row>
    <row r="28" spans="1:11" x14ac:dyDescent="0.25">
      <c r="A28" s="596"/>
      <c r="B28" s="486" t="s">
        <v>233</v>
      </c>
      <c r="C28" s="487" t="s">
        <v>85</v>
      </c>
      <c r="D28" s="720">
        <v>18702.61</v>
      </c>
      <c r="E28" s="720">
        <v>78390.25</v>
      </c>
      <c r="F28" s="720">
        <v>78350.240000000005</v>
      </c>
      <c r="G28" s="721">
        <f t="shared" si="0"/>
        <v>9000</v>
      </c>
      <c r="H28" s="720">
        <v>87350.24</v>
      </c>
      <c r="I28" s="490">
        <f>[1]MEO!$Z$33</f>
        <v>104444.183294</v>
      </c>
    </row>
    <row r="29" spans="1:11" s="651" customFormat="1" ht="17.25" customHeight="1" x14ac:dyDescent="0.2">
      <c r="A29" s="674" t="s">
        <v>71</v>
      </c>
      <c r="B29" s="675"/>
      <c r="C29" s="722"/>
      <c r="D29" s="677">
        <f>SUM(D15:D28)</f>
        <v>1309722.01</v>
      </c>
      <c r="E29" s="677">
        <f t="shared" ref="E29:I29" si="1">SUM(E15:E28)</f>
        <v>1998186.45</v>
      </c>
      <c r="F29" s="677">
        <f t="shared" si="1"/>
        <v>1024767.5</v>
      </c>
      <c r="G29" s="677">
        <f t="shared" si="1"/>
        <v>1059213.4699999997</v>
      </c>
      <c r="H29" s="677">
        <f t="shared" si="1"/>
        <v>2083980.97</v>
      </c>
      <c r="I29" s="677">
        <f t="shared" si="1"/>
        <v>2491260.8432939998</v>
      </c>
      <c r="J29" s="656"/>
      <c r="K29" s="656"/>
    </row>
    <row r="30" spans="1:11" x14ac:dyDescent="0.25">
      <c r="A30" s="623" t="s">
        <v>14</v>
      </c>
      <c r="B30" s="624"/>
      <c r="C30" s="130"/>
      <c r="D30" s="130"/>
      <c r="E30" s="130"/>
      <c r="F30" s="130"/>
      <c r="G30" s="130"/>
      <c r="H30" s="130"/>
      <c r="I30" s="130"/>
    </row>
    <row r="31" spans="1:11" x14ac:dyDescent="0.25">
      <c r="A31" s="100"/>
      <c r="B31" s="478" t="s">
        <v>234</v>
      </c>
      <c r="C31" s="47" t="s">
        <v>92</v>
      </c>
      <c r="D31" s="718">
        <v>40106.050000000003</v>
      </c>
      <c r="E31" s="723">
        <v>40000</v>
      </c>
      <c r="F31" s="239">
        <v>35158</v>
      </c>
      <c r="G31" s="718">
        <f>H31-F31</f>
        <v>13012.46</v>
      </c>
      <c r="H31" s="718">
        <v>48170.46</v>
      </c>
      <c r="I31" s="724">
        <v>60000</v>
      </c>
    </row>
    <row r="32" spans="1:11" x14ac:dyDescent="0.25">
      <c r="A32" s="100"/>
      <c r="B32" s="478" t="s">
        <v>235</v>
      </c>
      <c r="C32" s="47" t="s">
        <v>93</v>
      </c>
      <c r="D32" s="718">
        <v>3060</v>
      </c>
      <c r="E32" s="723">
        <v>47000</v>
      </c>
      <c r="F32" s="239">
        <v>0</v>
      </c>
      <c r="G32" s="718">
        <f>H32-F32</f>
        <v>46936</v>
      </c>
      <c r="H32" s="718">
        <v>46936</v>
      </c>
      <c r="I32" s="724">
        <v>60000</v>
      </c>
    </row>
    <row r="33" spans="1:13" x14ac:dyDescent="0.25">
      <c r="A33" s="100"/>
      <c r="B33" s="478" t="s">
        <v>236</v>
      </c>
      <c r="C33" s="47" t="s">
        <v>94</v>
      </c>
      <c r="D33" s="718">
        <v>53038.97</v>
      </c>
      <c r="E33" s="723">
        <v>80000</v>
      </c>
      <c r="F33" s="239">
        <v>27287.68</v>
      </c>
      <c r="G33" s="718">
        <f>H33-F33</f>
        <v>23739.4</v>
      </c>
      <c r="H33" s="718">
        <v>51027.08</v>
      </c>
      <c r="I33" s="724">
        <v>90000</v>
      </c>
    </row>
    <row r="34" spans="1:13" x14ac:dyDescent="0.25">
      <c r="A34" s="100"/>
      <c r="B34" s="478" t="s">
        <v>268</v>
      </c>
      <c r="C34" s="47" t="s">
        <v>98</v>
      </c>
      <c r="D34" s="718"/>
      <c r="E34" s="723"/>
      <c r="F34" s="239"/>
      <c r="G34" s="718">
        <f t="shared" ref="G34:G35" si="2">H34-F34</f>
        <v>0</v>
      </c>
      <c r="H34" s="718"/>
      <c r="I34" s="724">
        <v>20000</v>
      </c>
    </row>
    <row r="35" spans="1:13" x14ac:dyDescent="0.25">
      <c r="A35" s="100"/>
      <c r="B35" s="478" t="s">
        <v>237</v>
      </c>
      <c r="C35" s="47" t="s">
        <v>95</v>
      </c>
      <c r="D35" s="718"/>
      <c r="E35" s="723">
        <v>18000</v>
      </c>
      <c r="F35" s="239">
        <v>4000</v>
      </c>
      <c r="G35" s="718">
        <f t="shared" si="2"/>
        <v>14000</v>
      </c>
      <c r="H35" s="718">
        <v>18000</v>
      </c>
      <c r="I35" s="724">
        <v>24000</v>
      </c>
    </row>
    <row r="36" spans="1:13" x14ac:dyDescent="0.25">
      <c r="A36" s="100"/>
      <c r="B36" s="478" t="s">
        <v>255</v>
      </c>
      <c r="C36" s="47" t="s">
        <v>96</v>
      </c>
      <c r="D36" s="718">
        <v>318980</v>
      </c>
      <c r="E36" s="723">
        <v>250000</v>
      </c>
      <c r="F36" s="239">
        <v>126500</v>
      </c>
      <c r="G36" s="718">
        <f>H36-F36</f>
        <v>167620</v>
      </c>
      <c r="H36" s="718">
        <v>294120</v>
      </c>
      <c r="I36" s="724">
        <v>350000</v>
      </c>
    </row>
    <row r="37" spans="1:13" x14ac:dyDescent="0.25">
      <c r="A37" s="100"/>
      <c r="B37" s="478" t="s">
        <v>240</v>
      </c>
      <c r="C37" s="47" t="s">
        <v>99</v>
      </c>
      <c r="D37" s="718">
        <v>700</v>
      </c>
      <c r="E37" s="723">
        <v>20000</v>
      </c>
      <c r="F37" s="239">
        <v>3476</v>
      </c>
      <c r="G37" s="718">
        <f>H37-F37</f>
        <v>13199</v>
      </c>
      <c r="H37" s="718">
        <v>16675</v>
      </c>
      <c r="I37" s="724">
        <v>10000</v>
      </c>
    </row>
    <row r="38" spans="1:13" x14ac:dyDescent="0.25">
      <c r="A38" s="100"/>
      <c r="B38" s="478" t="s">
        <v>283</v>
      </c>
      <c r="C38" s="47" t="s">
        <v>137</v>
      </c>
      <c r="D38" s="718"/>
      <c r="E38" s="723">
        <v>20000</v>
      </c>
      <c r="F38" s="239"/>
      <c r="G38" s="718"/>
      <c r="H38" s="718"/>
      <c r="I38" s="724">
        <v>9000</v>
      </c>
    </row>
    <row r="39" spans="1:13" x14ac:dyDescent="0.25">
      <c r="A39" s="100"/>
      <c r="B39" s="478" t="s">
        <v>302</v>
      </c>
      <c r="C39" s="47" t="s">
        <v>158</v>
      </c>
      <c r="D39" s="718">
        <v>14850</v>
      </c>
      <c r="E39" s="723">
        <v>52000</v>
      </c>
      <c r="F39" s="239"/>
      <c r="G39" s="718">
        <f>H39-F39</f>
        <v>0</v>
      </c>
      <c r="H39" s="718"/>
      <c r="I39" s="724">
        <v>52000</v>
      </c>
    </row>
    <row r="40" spans="1:13" x14ac:dyDescent="0.25">
      <c r="A40" s="596"/>
      <c r="B40" s="511" t="s">
        <v>303</v>
      </c>
      <c r="C40" s="725" t="s">
        <v>316</v>
      </c>
      <c r="D40" s="721"/>
      <c r="E40" s="726"/>
      <c r="F40" s="727"/>
      <c r="G40" s="721"/>
      <c r="H40" s="721"/>
      <c r="I40" s="728">
        <v>100000</v>
      </c>
      <c r="J40" s="744"/>
      <c r="K40" s="45"/>
      <c r="L40" s="45"/>
      <c r="M40" s="45"/>
    </row>
    <row r="41" spans="1:13" ht="13.5" customHeight="1" x14ac:dyDescent="0.25">
      <c r="A41" s="564" t="s">
        <v>68</v>
      </c>
      <c r="B41" s="729"/>
      <c r="C41" s="730"/>
      <c r="D41" s="519">
        <f>SUM(D31:D39)</f>
        <v>430735.02</v>
      </c>
      <c r="E41" s="519">
        <f t="shared" ref="E41:H41" si="3">SUM(E31:E39)</f>
        <v>527000</v>
      </c>
      <c r="F41" s="519">
        <f t="shared" si="3"/>
        <v>196421.68</v>
      </c>
      <c r="G41" s="519">
        <f t="shared" si="3"/>
        <v>278506.86</v>
      </c>
      <c r="H41" s="519">
        <f t="shared" si="3"/>
        <v>474928.54</v>
      </c>
      <c r="I41" s="521">
        <f>SUM(I31:I40)</f>
        <v>775000</v>
      </c>
      <c r="J41" s="593"/>
      <c r="K41" s="593"/>
    </row>
    <row r="42" spans="1:13" ht="14.25" customHeight="1" x14ac:dyDescent="0.25">
      <c r="A42" s="623" t="s">
        <v>13</v>
      </c>
      <c r="B42" s="624"/>
      <c r="C42" s="731"/>
      <c r="D42" s="130"/>
      <c r="E42" s="130"/>
      <c r="F42" s="130"/>
      <c r="G42" s="130"/>
      <c r="H42" s="130"/>
      <c r="I42" s="732"/>
    </row>
    <row r="43" spans="1:13" ht="15" customHeight="1" x14ac:dyDescent="0.25">
      <c r="A43" s="100"/>
      <c r="B43" s="376" t="s">
        <v>278</v>
      </c>
      <c r="C43" s="733"/>
      <c r="D43" s="718"/>
      <c r="E43" s="734">
        <v>100000</v>
      </c>
      <c r="F43" s="735"/>
      <c r="G43" s="735"/>
      <c r="H43" s="735"/>
      <c r="I43" s="736">
        <v>0</v>
      </c>
    </row>
    <row r="44" spans="1:13" ht="15" customHeight="1" x14ac:dyDescent="0.25">
      <c r="A44" s="100"/>
      <c r="B44" s="376" t="s">
        <v>304</v>
      </c>
      <c r="C44" s="733" t="s">
        <v>133</v>
      </c>
      <c r="D44" s="718">
        <v>143569</v>
      </c>
      <c r="E44" s="734">
        <v>250000</v>
      </c>
      <c r="F44" s="718">
        <v>420</v>
      </c>
      <c r="G44" s="718">
        <f>H44-F44</f>
        <v>100586</v>
      </c>
      <c r="H44" s="718">
        <v>101006</v>
      </c>
      <c r="I44" s="736">
        <v>250000</v>
      </c>
    </row>
    <row r="45" spans="1:13" ht="15" customHeight="1" x14ac:dyDescent="0.25">
      <c r="A45" s="100"/>
      <c r="B45" s="376" t="s">
        <v>252</v>
      </c>
      <c r="C45" s="737" t="s">
        <v>159</v>
      </c>
      <c r="D45" s="239"/>
      <c r="E45" s="734">
        <v>100000</v>
      </c>
      <c r="F45" s="735"/>
      <c r="G45" s="718">
        <f>H45-F45</f>
        <v>71225</v>
      </c>
      <c r="H45" s="239">
        <v>71225</v>
      </c>
      <c r="I45" s="736">
        <v>0</v>
      </c>
    </row>
    <row r="46" spans="1:13" ht="16.5" customHeight="1" x14ac:dyDescent="0.25">
      <c r="A46" s="596"/>
      <c r="B46" s="738" t="s">
        <v>245</v>
      </c>
      <c r="C46" s="739" t="s">
        <v>107</v>
      </c>
      <c r="D46" s="727"/>
      <c r="E46" s="740">
        <v>182000</v>
      </c>
      <c r="F46" s="741"/>
      <c r="G46" s="741"/>
      <c r="H46" s="727"/>
      <c r="I46" s="742">
        <v>0</v>
      </c>
    </row>
    <row r="47" spans="1:13" s="651" customFormat="1" ht="12.75" x14ac:dyDescent="0.2">
      <c r="A47" s="674" t="s">
        <v>72</v>
      </c>
      <c r="B47" s="675"/>
      <c r="C47" s="676"/>
      <c r="D47" s="492">
        <f t="shared" ref="D47:I47" si="4">SUM(D43:D46)</f>
        <v>143569</v>
      </c>
      <c r="E47" s="492">
        <f t="shared" si="4"/>
        <v>632000</v>
      </c>
      <c r="F47" s="492">
        <f t="shared" si="4"/>
        <v>420</v>
      </c>
      <c r="G47" s="492">
        <f t="shared" si="4"/>
        <v>171811</v>
      </c>
      <c r="H47" s="492">
        <f t="shared" si="4"/>
        <v>172231</v>
      </c>
      <c r="I47" s="492">
        <f t="shared" si="4"/>
        <v>250000</v>
      </c>
      <c r="K47" s="656"/>
    </row>
    <row r="48" spans="1:13" s="651" customFormat="1" ht="12.75" x14ac:dyDescent="0.2">
      <c r="A48" s="697" t="s">
        <v>20</v>
      </c>
      <c r="B48" s="698"/>
      <c r="C48" s="743"/>
      <c r="D48" s="492">
        <f>D29+D47+D41</f>
        <v>1884026.03</v>
      </c>
      <c r="E48" s="492">
        <f>E29+E47+E41</f>
        <v>3157186.45</v>
      </c>
      <c r="F48" s="492">
        <f>F29+F47+F41</f>
        <v>1221609.18</v>
      </c>
      <c r="G48" s="492">
        <f>G29+G47+G41</f>
        <v>1509531.3299999996</v>
      </c>
      <c r="H48" s="492">
        <f>H29+H47+H41</f>
        <v>2731140.51</v>
      </c>
      <c r="I48" s="492">
        <f>I29+I41+I47</f>
        <v>3516260.8432939998</v>
      </c>
    </row>
    <row r="49" spans="2:9" x14ac:dyDescent="0.25">
      <c r="B49" s="150"/>
      <c r="C49" s="151"/>
      <c r="D49" s="152"/>
      <c r="E49" s="152"/>
      <c r="F49" s="152"/>
      <c r="G49" s="149"/>
      <c r="H49" s="149"/>
      <c r="I49" s="149"/>
    </row>
    <row r="50" spans="2:9" x14ac:dyDescent="0.25">
      <c r="B50" s="153" t="s">
        <v>22</v>
      </c>
      <c r="C50" s="36" t="s">
        <v>23</v>
      </c>
      <c r="D50" s="36"/>
      <c r="E50" s="36"/>
      <c r="F50" s="113"/>
      <c r="G50" s="36" t="s">
        <v>24</v>
      </c>
      <c r="H50" s="36"/>
      <c r="I50" s="36"/>
    </row>
    <row r="51" spans="2:9" x14ac:dyDescent="0.25">
      <c r="B51" s="36"/>
      <c r="C51" s="36"/>
      <c r="D51" s="36"/>
      <c r="E51" s="36"/>
      <c r="F51" s="113"/>
      <c r="G51" s="36"/>
      <c r="H51" s="36"/>
      <c r="I51" s="36"/>
    </row>
    <row r="52" spans="2:9" x14ac:dyDescent="0.25">
      <c r="B52" s="216" t="s">
        <v>56</v>
      </c>
      <c r="C52" s="1128" t="s">
        <v>51</v>
      </c>
      <c r="D52" s="1128"/>
      <c r="E52" s="1128"/>
      <c r="F52" s="1128"/>
      <c r="G52" s="1085" t="s">
        <v>117</v>
      </c>
      <c r="H52" s="1085"/>
      <c r="I52" s="1085"/>
    </row>
    <row r="53" spans="2:9" x14ac:dyDescent="0.25">
      <c r="B53" s="206" t="s">
        <v>63</v>
      </c>
      <c r="C53" s="1070" t="s">
        <v>64</v>
      </c>
      <c r="D53" s="1070"/>
      <c r="E53" s="1070"/>
      <c r="F53" s="1070"/>
      <c r="G53" s="1070" t="s">
        <v>67</v>
      </c>
      <c r="H53" s="1070"/>
      <c r="I53" s="1070"/>
    </row>
  </sheetData>
  <sheetProtection algorithmName="SHA-512" hashValue="7tokY12rQXxAW3eUMV7xwJwoSF93wTo10sfv6lc7y3BpYNyuJhWeb5OoX6sgLkFThe6SUSO9CB9HZpVZstBfiw==" saltValue="waqDqrrPjdir6pJZ2pjxmg==" spinCount="100000" sheet="1" objects="1" scenarios="1" selectLockedCells="1" selectUnlockedCells="1"/>
  <mergeCells count="10">
    <mergeCell ref="C52:F52"/>
    <mergeCell ref="G52:I52"/>
    <mergeCell ref="C53:F53"/>
    <mergeCell ref="G53:I53"/>
    <mergeCell ref="B3:I3"/>
    <mergeCell ref="B9:B10"/>
    <mergeCell ref="C9:C10"/>
    <mergeCell ref="F9:H9"/>
    <mergeCell ref="B4:I4"/>
    <mergeCell ref="E9:E13"/>
  </mergeCells>
  <printOptions horizontalCentered="1"/>
  <pageMargins left="0.15" right="0" top="0.37" bottom="0.35" header="0" footer="0"/>
  <pageSetup scale="75" orientation="portrait" r:id="rId1"/>
  <headerFooter>
    <oddHeader>&amp;R&amp;D   &amp;T</odd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6"/>
  <sheetViews>
    <sheetView topLeftCell="A40" zoomScale="110" zoomScaleNormal="110" workbookViewId="0">
      <selection activeCell="B48" sqref="B48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6" width="13.42578125" style="41" customWidth="1"/>
    <col min="7" max="7" width="13.85546875" style="41" customWidth="1"/>
    <col min="8" max="10" width="13.42578125" style="41" customWidth="1"/>
    <col min="11" max="11" width="11.7109375" style="41" customWidth="1"/>
    <col min="12" max="16384" width="9.140625" style="41"/>
  </cols>
  <sheetData>
    <row r="1" spans="1:9" x14ac:dyDescent="0.25">
      <c r="A1" s="41" t="s">
        <v>9</v>
      </c>
      <c r="I1" s="41" t="s">
        <v>27</v>
      </c>
    </row>
    <row r="2" spans="1:9" ht="6.75" customHeight="1" x14ac:dyDescent="0.25"/>
    <row r="3" spans="1:9" x14ac:dyDescent="0.25">
      <c r="A3" s="1068" t="s">
        <v>10</v>
      </c>
      <c r="B3" s="1068"/>
      <c r="C3" s="1068"/>
      <c r="D3" s="1068"/>
      <c r="E3" s="1068"/>
      <c r="F3" s="1068"/>
      <c r="G3" s="1068"/>
      <c r="H3" s="1068"/>
      <c r="I3" s="1068"/>
    </row>
    <row r="4" spans="1:9" x14ac:dyDescent="0.25">
      <c r="A4" s="1068" t="s">
        <v>47</v>
      </c>
      <c r="B4" s="1068"/>
      <c r="C4" s="1068"/>
      <c r="D4" s="1068"/>
      <c r="E4" s="1068"/>
      <c r="F4" s="1068"/>
      <c r="G4" s="1068"/>
      <c r="H4" s="1068"/>
      <c r="I4" s="1068"/>
    </row>
    <row r="5" spans="1:9" ht="3" customHeight="1" x14ac:dyDescent="0.25">
      <c r="B5" s="745"/>
    </row>
    <row r="6" spans="1:9" ht="15.75" customHeight="1" x14ac:dyDescent="0.25">
      <c r="A6" s="745" t="s">
        <v>160</v>
      </c>
      <c r="B6" s="745"/>
    </row>
    <row r="7" spans="1:9" x14ac:dyDescent="0.25">
      <c r="A7" s="41" t="s">
        <v>57</v>
      </c>
    </row>
    <row r="8" spans="1:9" x14ac:dyDescent="0.25">
      <c r="A8" s="41" t="s">
        <v>25</v>
      </c>
    </row>
    <row r="9" spans="1:9" ht="3.75" customHeight="1" x14ac:dyDescent="0.25"/>
    <row r="10" spans="1:9" x14ac:dyDescent="0.25">
      <c r="A10" s="1124" t="s">
        <v>0</v>
      </c>
      <c r="B10" s="1125"/>
      <c r="C10" s="1120" t="s">
        <v>1</v>
      </c>
      <c r="D10" s="212" t="s">
        <v>2</v>
      </c>
      <c r="E10" s="1082" t="s">
        <v>105</v>
      </c>
      <c r="F10" s="1124" t="s">
        <v>8</v>
      </c>
      <c r="G10" s="1129"/>
      <c r="H10" s="1125"/>
      <c r="I10" s="212" t="s">
        <v>3</v>
      </c>
    </row>
    <row r="11" spans="1:9" ht="54" customHeight="1" x14ac:dyDescent="0.25">
      <c r="A11" s="1126"/>
      <c r="B11" s="1127"/>
      <c r="C11" s="1121"/>
      <c r="D11" s="213" t="s">
        <v>4</v>
      </c>
      <c r="E11" s="1083"/>
      <c r="F11" s="618" t="s">
        <v>46</v>
      </c>
      <c r="G11" s="618" t="s">
        <v>45</v>
      </c>
      <c r="H11" s="212" t="s">
        <v>5</v>
      </c>
      <c r="I11" s="213" t="s">
        <v>6</v>
      </c>
    </row>
    <row r="12" spans="1:9" x14ac:dyDescent="0.25">
      <c r="A12" s="588"/>
      <c r="B12" s="619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9" x14ac:dyDescent="0.25">
      <c r="A13" s="588"/>
      <c r="B13" s="619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590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620" t="s">
        <v>11</v>
      </c>
      <c r="B15" s="646"/>
      <c r="C15" s="213"/>
      <c r="D15" s="213"/>
      <c r="E15" s="213"/>
      <c r="F15" s="213"/>
      <c r="G15" s="213"/>
      <c r="H15" s="213"/>
      <c r="I15" s="213"/>
    </row>
    <row r="16" spans="1:9" x14ac:dyDescent="0.25">
      <c r="A16" s="588"/>
      <c r="B16" s="99" t="s">
        <v>219</v>
      </c>
      <c r="C16" s="28" t="s">
        <v>73</v>
      </c>
      <c r="D16" s="595"/>
      <c r="E16" s="595"/>
      <c r="F16" s="595"/>
      <c r="G16" s="746"/>
      <c r="H16" s="595"/>
      <c r="I16" s="746"/>
    </row>
    <row r="17" spans="1:11" x14ac:dyDescent="0.25">
      <c r="A17" s="588"/>
      <c r="B17" s="99" t="s">
        <v>220</v>
      </c>
      <c r="C17" s="28" t="s">
        <v>86</v>
      </c>
      <c r="D17" s="595"/>
      <c r="E17" s="595"/>
      <c r="F17" s="595"/>
      <c r="G17" s="746"/>
      <c r="H17" s="595"/>
      <c r="I17" s="595"/>
    </row>
    <row r="18" spans="1:11" x14ac:dyDescent="0.25">
      <c r="A18" s="588"/>
      <c r="B18" s="703" t="s">
        <v>221</v>
      </c>
      <c r="C18" s="704" t="s">
        <v>74</v>
      </c>
      <c r="D18" s="595">
        <v>4929.2</v>
      </c>
      <c r="E18" s="595"/>
      <c r="F18" s="595"/>
      <c r="G18" s="746"/>
      <c r="H18" s="595"/>
      <c r="I18" s="746"/>
    </row>
    <row r="19" spans="1:11" x14ac:dyDescent="0.25">
      <c r="A19" s="588"/>
      <c r="B19" s="703" t="s">
        <v>224</v>
      </c>
      <c r="C19" s="704" t="s">
        <v>75</v>
      </c>
      <c r="D19" s="595"/>
      <c r="E19" s="595"/>
      <c r="F19" s="595"/>
      <c r="G19" s="746"/>
      <c r="H19" s="595"/>
      <c r="I19" s="746"/>
    </row>
    <row r="20" spans="1:11" x14ac:dyDescent="0.25">
      <c r="A20" s="588"/>
      <c r="B20" s="703" t="s">
        <v>223</v>
      </c>
      <c r="C20" s="704" t="s">
        <v>76</v>
      </c>
      <c r="D20" s="595"/>
      <c r="E20" s="595"/>
      <c r="F20" s="595"/>
      <c r="G20" s="746"/>
      <c r="H20" s="595"/>
      <c r="I20" s="746"/>
    </row>
    <row r="21" spans="1:11" x14ac:dyDescent="0.25">
      <c r="A21" s="588"/>
      <c r="B21" s="703" t="s">
        <v>222</v>
      </c>
      <c r="C21" s="704" t="s">
        <v>77</v>
      </c>
      <c r="D21" s="595"/>
      <c r="E21" s="595"/>
      <c r="F21" s="595"/>
      <c r="G21" s="746"/>
      <c r="H21" s="595"/>
      <c r="I21" s="746"/>
    </row>
    <row r="22" spans="1:11" x14ac:dyDescent="0.25">
      <c r="A22" s="588"/>
      <c r="B22" s="703" t="s">
        <v>225</v>
      </c>
      <c r="C22" s="704" t="s">
        <v>78</v>
      </c>
      <c r="D22" s="595"/>
      <c r="E22" s="595"/>
      <c r="F22" s="595"/>
      <c r="G22" s="746"/>
      <c r="H22" s="595"/>
      <c r="I22" s="746"/>
    </row>
    <row r="23" spans="1:11" x14ac:dyDescent="0.25">
      <c r="A23" s="588"/>
      <c r="B23" s="703" t="s">
        <v>226</v>
      </c>
      <c r="C23" s="704" t="s">
        <v>80</v>
      </c>
      <c r="D23" s="595"/>
      <c r="E23" s="595"/>
      <c r="F23" s="595"/>
      <c r="G23" s="746"/>
      <c r="H23" s="595"/>
      <c r="I23" s="746"/>
    </row>
    <row r="24" spans="1:11" x14ac:dyDescent="0.25">
      <c r="A24" s="588"/>
      <c r="B24" s="703" t="s">
        <v>227</v>
      </c>
      <c r="C24" s="704" t="s">
        <v>79</v>
      </c>
      <c r="D24" s="595"/>
      <c r="E24" s="595"/>
      <c r="F24" s="595"/>
      <c r="G24" s="746"/>
      <c r="H24" s="595"/>
      <c r="I24" s="746"/>
    </row>
    <row r="25" spans="1:11" x14ac:dyDescent="0.25">
      <c r="A25" s="588"/>
      <c r="B25" s="703" t="s">
        <v>228</v>
      </c>
      <c r="C25" s="704" t="s">
        <v>81</v>
      </c>
      <c r="D25" s="595">
        <v>3101.76</v>
      </c>
      <c r="E25" s="595"/>
      <c r="F25" s="595"/>
      <c r="G25" s="746"/>
      <c r="H25" s="595"/>
      <c r="I25" s="746"/>
    </row>
    <row r="26" spans="1:11" x14ac:dyDescent="0.25">
      <c r="A26" s="588"/>
      <c r="B26" s="703" t="s">
        <v>229</v>
      </c>
      <c r="C26" s="704" t="s">
        <v>82</v>
      </c>
      <c r="D26" s="595"/>
      <c r="E26" s="595"/>
      <c r="F26" s="595"/>
      <c r="G26" s="746"/>
      <c r="H26" s="595"/>
      <c r="I26" s="746"/>
    </row>
    <row r="27" spans="1:11" x14ac:dyDescent="0.25">
      <c r="A27" s="588"/>
      <c r="B27" s="703" t="s">
        <v>230</v>
      </c>
      <c r="C27" s="704" t="s">
        <v>83</v>
      </c>
      <c r="D27" s="595">
        <v>275</v>
      </c>
      <c r="E27" s="595"/>
      <c r="F27" s="595"/>
      <c r="G27" s="746"/>
      <c r="H27" s="595"/>
      <c r="I27" s="746"/>
    </row>
    <row r="28" spans="1:11" x14ac:dyDescent="0.25">
      <c r="A28" s="588"/>
      <c r="B28" s="703" t="s">
        <v>231</v>
      </c>
      <c r="C28" s="704" t="s">
        <v>84</v>
      </c>
      <c r="D28" s="595"/>
      <c r="E28" s="595"/>
      <c r="F28" s="595"/>
      <c r="G28" s="746"/>
      <c r="H28" s="595"/>
      <c r="I28" s="746"/>
    </row>
    <row r="29" spans="1:11" x14ac:dyDescent="0.25">
      <c r="A29" s="588"/>
      <c r="B29" s="703" t="s">
        <v>233</v>
      </c>
      <c r="C29" s="704" t="s">
        <v>85</v>
      </c>
      <c r="D29" s="595"/>
      <c r="E29" s="595"/>
      <c r="F29" s="595"/>
      <c r="G29" s="746">
        <f t="shared" ref="G29" si="0">H29-F29</f>
        <v>0</v>
      </c>
      <c r="H29" s="595"/>
      <c r="I29" s="746"/>
    </row>
    <row r="30" spans="1:11" ht="17.25" customHeight="1" x14ac:dyDescent="0.25">
      <c r="A30" s="143" t="s">
        <v>71</v>
      </c>
      <c r="B30" s="555"/>
      <c r="C30" s="707"/>
      <c r="D30" s="557">
        <f>SUM(D16:D29)</f>
        <v>8305.9599999999991</v>
      </c>
      <c r="E30" s="557"/>
      <c r="F30" s="557">
        <f>SUM(F16:F29)</f>
        <v>0</v>
      </c>
      <c r="G30" s="557">
        <f>SUM(G16:G29)</f>
        <v>0</v>
      </c>
      <c r="H30" s="557">
        <f>SUM(H16:H29)</f>
        <v>0</v>
      </c>
      <c r="I30" s="557">
        <f>SUM(I16:I29)</f>
        <v>0</v>
      </c>
      <c r="J30" s="593"/>
      <c r="K30" s="593"/>
    </row>
    <row r="31" spans="1:11" x14ac:dyDescent="0.25">
      <c r="A31" s="623" t="s">
        <v>14</v>
      </c>
      <c r="B31" s="624"/>
      <c r="C31" s="130"/>
      <c r="D31" s="130"/>
      <c r="E31" s="130"/>
      <c r="F31" s="130"/>
      <c r="G31" s="130"/>
      <c r="H31" s="130"/>
      <c r="I31" s="130"/>
    </row>
    <row r="32" spans="1:11" x14ac:dyDescent="0.25">
      <c r="A32" s="588"/>
      <c r="B32" s="99" t="s">
        <v>234</v>
      </c>
      <c r="C32" s="28" t="s">
        <v>92</v>
      </c>
      <c r="D32" s="701">
        <v>29547</v>
      </c>
      <c r="E32" s="747">
        <v>30000</v>
      </c>
      <c r="F32" s="711">
        <v>25817</v>
      </c>
      <c r="G32" s="701">
        <f>H32-F32</f>
        <v>5280</v>
      </c>
      <c r="H32" s="701">
        <v>31097</v>
      </c>
      <c r="I32" s="747">
        <v>30000</v>
      </c>
    </row>
    <row r="33" spans="1:11" x14ac:dyDescent="0.25">
      <c r="A33" s="588"/>
      <c r="B33" s="99" t="s">
        <v>235</v>
      </c>
      <c r="C33" s="28" t="s">
        <v>93</v>
      </c>
      <c r="D33" s="701">
        <v>6390</v>
      </c>
      <c r="E33" s="747">
        <v>12000</v>
      </c>
      <c r="F33" s="711">
        <v>7740</v>
      </c>
      <c r="G33" s="701">
        <f t="shared" ref="G33:G39" si="1">H33-F33</f>
        <v>3408</v>
      </c>
      <c r="H33" s="701">
        <v>11148</v>
      </c>
      <c r="I33" s="747">
        <v>12000</v>
      </c>
    </row>
    <row r="34" spans="1:11" x14ac:dyDescent="0.25">
      <c r="A34" s="588"/>
      <c r="B34" s="99" t="s">
        <v>236</v>
      </c>
      <c r="C34" s="28" t="s">
        <v>94</v>
      </c>
      <c r="D34" s="711"/>
      <c r="E34" s="747">
        <v>20000</v>
      </c>
      <c r="F34" s="711">
        <v>17136.650000000001</v>
      </c>
      <c r="G34" s="701">
        <f t="shared" si="1"/>
        <v>2110.34</v>
      </c>
      <c r="H34" s="711">
        <v>19246.990000000002</v>
      </c>
      <c r="I34" s="747">
        <v>15000</v>
      </c>
    </row>
    <row r="35" spans="1:11" x14ac:dyDescent="0.25">
      <c r="A35" s="588"/>
      <c r="B35" s="151" t="s">
        <v>268</v>
      </c>
      <c r="C35" s="28" t="s">
        <v>98</v>
      </c>
      <c r="D35" s="711"/>
      <c r="E35" s="711"/>
      <c r="F35" s="711"/>
      <c r="G35" s="701">
        <f t="shared" si="1"/>
        <v>0</v>
      </c>
      <c r="H35" s="711"/>
      <c r="I35" s="747"/>
    </row>
    <row r="36" spans="1:11" x14ac:dyDescent="0.25">
      <c r="A36" s="588"/>
      <c r="B36" s="99" t="s">
        <v>237</v>
      </c>
      <c r="C36" s="28" t="s">
        <v>95</v>
      </c>
      <c r="D36" s="711"/>
      <c r="E36" s="747">
        <v>18000</v>
      </c>
      <c r="F36" s="711"/>
      <c r="G36" s="701">
        <f t="shared" si="1"/>
        <v>16281</v>
      </c>
      <c r="H36" s="711">
        <v>16281</v>
      </c>
      <c r="I36" s="747">
        <v>12000</v>
      </c>
    </row>
    <row r="37" spans="1:11" x14ac:dyDescent="0.25">
      <c r="A37" s="588"/>
      <c r="B37" s="748" t="s">
        <v>238</v>
      </c>
      <c r="C37" s="28" t="s">
        <v>118</v>
      </c>
      <c r="D37" s="711"/>
      <c r="E37" s="747"/>
      <c r="F37" s="711"/>
      <c r="G37" s="701">
        <f t="shared" si="1"/>
        <v>0</v>
      </c>
      <c r="H37" s="711"/>
      <c r="I37" s="747">
        <v>11000</v>
      </c>
    </row>
    <row r="38" spans="1:11" x14ac:dyDescent="0.25">
      <c r="A38" s="588"/>
      <c r="B38" s="99" t="s">
        <v>255</v>
      </c>
      <c r="C38" s="28" t="s">
        <v>96</v>
      </c>
      <c r="D38" s="711"/>
      <c r="E38" s="711"/>
      <c r="F38" s="711"/>
      <c r="G38" s="701">
        <f t="shared" si="1"/>
        <v>0</v>
      </c>
      <c r="H38" s="711"/>
      <c r="I38" s="747"/>
    </row>
    <row r="39" spans="1:11" x14ac:dyDescent="0.25">
      <c r="A39" s="588"/>
      <c r="B39" s="99" t="s">
        <v>240</v>
      </c>
      <c r="C39" s="28" t="s">
        <v>99</v>
      </c>
      <c r="D39" s="711"/>
      <c r="E39" s="711"/>
      <c r="F39" s="711"/>
      <c r="G39" s="701">
        <f t="shared" si="1"/>
        <v>0</v>
      </c>
      <c r="H39" s="711"/>
      <c r="I39" s="747"/>
    </row>
    <row r="40" spans="1:11" ht="13.5" customHeight="1" x14ac:dyDescent="0.25">
      <c r="A40" s="142" t="s">
        <v>68</v>
      </c>
      <c r="B40" s="579"/>
      <c r="C40" s="603"/>
      <c r="D40" s="143">
        <f>SUM(D32:D39)</f>
        <v>35937</v>
      </c>
      <c r="E40" s="143">
        <f t="shared" ref="E40:H40" si="2">SUM(E32:E39)</f>
        <v>80000</v>
      </c>
      <c r="F40" s="143">
        <f t="shared" si="2"/>
        <v>50693.65</v>
      </c>
      <c r="G40" s="143">
        <f t="shared" si="2"/>
        <v>27079.34</v>
      </c>
      <c r="H40" s="143">
        <f t="shared" si="2"/>
        <v>77772.990000000005</v>
      </c>
      <c r="I40" s="143">
        <f>SUM(I32:I39)</f>
        <v>80000</v>
      </c>
      <c r="J40" s="593"/>
      <c r="K40" s="593"/>
    </row>
    <row r="41" spans="1:11" ht="14.25" customHeight="1" x14ac:dyDescent="0.25">
      <c r="A41" s="623" t="s">
        <v>13</v>
      </c>
      <c r="B41" s="624"/>
      <c r="C41" s="731"/>
      <c r="D41" s="130"/>
      <c r="E41" s="130"/>
      <c r="F41" s="130"/>
      <c r="G41" s="130"/>
      <c r="H41" s="130"/>
      <c r="I41" s="732"/>
    </row>
    <row r="42" spans="1:11" ht="14.25" customHeight="1" x14ac:dyDescent="0.25">
      <c r="A42" s="588"/>
      <c r="B42" s="99" t="s">
        <v>243</v>
      </c>
      <c r="C42" s="709" t="s">
        <v>110</v>
      </c>
      <c r="D42" s="130"/>
      <c r="E42" s="130"/>
      <c r="F42" s="130"/>
      <c r="G42" s="130"/>
      <c r="H42" s="130"/>
      <c r="I42" s="732"/>
    </row>
    <row r="43" spans="1:11" ht="14.25" customHeight="1" x14ac:dyDescent="0.25">
      <c r="A43" s="588"/>
      <c r="B43" s="99" t="s">
        <v>244</v>
      </c>
      <c r="C43" s="716" t="s">
        <v>108</v>
      </c>
      <c r="D43" s="130"/>
      <c r="E43" s="130"/>
      <c r="F43" s="130"/>
      <c r="G43" s="130"/>
      <c r="H43" s="130"/>
      <c r="I43" s="732"/>
    </row>
    <row r="44" spans="1:11" ht="16.5" customHeight="1" x14ac:dyDescent="0.25">
      <c r="A44" s="588"/>
      <c r="B44" s="749" t="s">
        <v>245</v>
      </c>
      <c r="C44" s="716" t="s">
        <v>107</v>
      </c>
      <c r="D44" s="701"/>
      <c r="E44" s="732">
        <v>182000</v>
      </c>
      <c r="F44" s="711">
        <v>68897</v>
      </c>
      <c r="G44" s="701">
        <f t="shared" ref="G44" si="3">H44-F44</f>
        <v>3690</v>
      </c>
      <c r="H44" s="711">
        <v>72587</v>
      </c>
      <c r="I44" s="732"/>
    </row>
    <row r="45" spans="1:11" x14ac:dyDescent="0.25">
      <c r="A45" s="143" t="s">
        <v>72</v>
      </c>
      <c r="B45" s="555"/>
      <c r="C45" s="603"/>
      <c r="D45" s="143">
        <f>SUM(D42:D44)</f>
        <v>0</v>
      </c>
      <c r="E45" s="143">
        <f>SUM(E42:E44)</f>
        <v>182000</v>
      </c>
      <c r="F45" s="143">
        <f t="shared" ref="F45:I45" si="4">SUM(F42:F44)</f>
        <v>68897</v>
      </c>
      <c r="G45" s="143">
        <f t="shared" si="4"/>
        <v>3690</v>
      </c>
      <c r="H45" s="143">
        <f t="shared" si="4"/>
        <v>72587</v>
      </c>
      <c r="I45" s="143">
        <f t="shared" si="4"/>
        <v>0</v>
      </c>
      <c r="K45" s="593"/>
    </row>
    <row r="46" spans="1:11" x14ac:dyDescent="0.25">
      <c r="A46" s="542" t="s">
        <v>20</v>
      </c>
      <c r="B46" s="606"/>
      <c r="C46" s="750"/>
      <c r="D46" s="143">
        <f>D30+D45+D40</f>
        <v>44242.96</v>
      </c>
      <c r="E46" s="143">
        <f t="shared" ref="E46:I46" si="5">E30+E45+E40</f>
        <v>262000</v>
      </c>
      <c r="F46" s="143">
        <f t="shared" si="5"/>
        <v>119590.65</v>
      </c>
      <c r="G46" s="143">
        <f t="shared" si="5"/>
        <v>30769.34</v>
      </c>
      <c r="H46" s="143">
        <f t="shared" si="5"/>
        <v>150359.99</v>
      </c>
      <c r="I46" s="143">
        <f t="shared" si="5"/>
        <v>80000</v>
      </c>
      <c r="J46" s="593"/>
    </row>
    <row r="47" spans="1:11" x14ac:dyDescent="0.25">
      <c r="B47" s="150"/>
      <c r="C47" s="151"/>
      <c r="D47" s="152"/>
      <c r="E47" s="152"/>
      <c r="F47" s="152"/>
      <c r="G47" s="149"/>
      <c r="H47" s="149"/>
      <c r="I47" s="149"/>
    </row>
    <row r="48" spans="1:11" x14ac:dyDescent="0.25">
      <c r="B48" s="153" t="s">
        <v>22</v>
      </c>
      <c r="C48" s="36" t="s">
        <v>23</v>
      </c>
      <c r="D48" s="36"/>
      <c r="E48" s="36"/>
      <c r="F48" s="113"/>
      <c r="G48" s="36" t="s">
        <v>24</v>
      </c>
      <c r="H48" s="36"/>
      <c r="I48" s="36"/>
    </row>
    <row r="49" spans="2:9" x14ac:dyDescent="0.25">
      <c r="B49" s="36"/>
      <c r="C49" s="36"/>
      <c r="D49" s="36"/>
      <c r="E49" s="36"/>
      <c r="F49" s="113"/>
      <c r="G49" s="36"/>
      <c r="H49" s="36"/>
      <c r="I49" s="36"/>
    </row>
    <row r="50" spans="2:9" x14ac:dyDescent="0.25">
      <c r="B50" s="216" t="s">
        <v>65</v>
      </c>
      <c r="C50" s="1128" t="s">
        <v>51</v>
      </c>
      <c r="D50" s="1128"/>
      <c r="E50" s="1128"/>
      <c r="F50" s="1128"/>
      <c r="G50" s="1085" t="s">
        <v>117</v>
      </c>
      <c r="H50" s="1085"/>
      <c r="I50" s="1085"/>
    </row>
    <row r="51" spans="2:9" x14ac:dyDescent="0.25">
      <c r="B51" s="206" t="s">
        <v>63</v>
      </c>
      <c r="C51" s="1070" t="s">
        <v>64</v>
      </c>
      <c r="D51" s="1070"/>
      <c r="E51" s="1070"/>
      <c r="F51" s="1070"/>
      <c r="G51" s="1070" t="s">
        <v>67</v>
      </c>
      <c r="H51" s="1070"/>
      <c r="I51" s="1070"/>
    </row>
    <row r="56" spans="2:9" x14ac:dyDescent="0.25">
      <c r="D56" s="157"/>
      <c r="E56" s="157"/>
      <c r="F56" s="157"/>
      <c r="G56" s="157"/>
      <c r="H56" s="157"/>
      <c r="I56" s="157"/>
    </row>
  </sheetData>
  <sheetProtection algorithmName="SHA-512" hashValue="qgdlMU8ggPn696oRoEskM98bA93poBZ8h+M9G9S7MyeREhmDkN44sgcnx0K3/5qzMCF5E9P9eku1C5xpjQv4Og==" saltValue="fM5tlHOjIxwtZvM/vQ+bLA==" spinCount="100000" sheet="1" objects="1" scenarios="1" selectLockedCells="1" selectUnlockedCells="1"/>
  <mergeCells count="10">
    <mergeCell ref="A3:I3"/>
    <mergeCell ref="A4:I4"/>
    <mergeCell ref="C50:F50"/>
    <mergeCell ref="G50:I50"/>
    <mergeCell ref="C51:F51"/>
    <mergeCell ref="G51:I51"/>
    <mergeCell ref="C10:C11"/>
    <mergeCell ref="F10:H10"/>
    <mergeCell ref="E10:E14"/>
    <mergeCell ref="A10:B11"/>
  </mergeCells>
  <printOptions horizontalCentered="1"/>
  <pageMargins left="0.4" right="0" top="0.75" bottom="0" header="0" footer="0"/>
  <pageSetup scale="70" orientation="portrait" r:id="rId1"/>
  <headerFooter>
    <oddHeader>&amp;R&amp;D   &amp;T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4"/>
  <sheetViews>
    <sheetView topLeftCell="A45" zoomScale="120" zoomScaleNormal="120" workbookViewId="0">
      <selection activeCell="F72" sqref="F72"/>
    </sheetView>
  </sheetViews>
  <sheetFormatPr defaultRowHeight="15" x14ac:dyDescent="0.25"/>
  <cols>
    <col min="1" max="1" width="2.85546875" style="41" customWidth="1"/>
    <col min="2" max="2" width="44.28515625" style="41" customWidth="1"/>
    <col min="3" max="3" width="13.28515625" style="41" customWidth="1"/>
    <col min="4" max="4" width="13.42578125" style="41" customWidth="1"/>
    <col min="5" max="5" width="13.42578125" style="41" hidden="1" customWidth="1"/>
    <col min="6" max="9" width="13.42578125" style="41" customWidth="1"/>
    <col min="10" max="10" width="16.5703125" style="41" customWidth="1"/>
    <col min="11" max="11" width="12.28515625" style="41" bestFit="1" customWidth="1"/>
    <col min="12" max="16384" width="9.140625" style="41"/>
  </cols>
  <sheetData>
    <row r="1" spans="1:9" x14ac:dyDescent="0.25">
      <c r="A1" s="41" t="s">
        <v>9</v>
      </c>
      <c r="I1" s="41" t="s">
        <v>27</v>
      </c>
    </row>
    <row r="2" spans="1:9" ht="6.75" customHeight="1" x14ac:dyDescent="0.25"/>
    <row r="3" spans="1:9" s="118" customFormat="1" ht="15" customHeight="1" x14ac:dyDescent="0.25">
      <c r="A3" s="1067" t="s">
        <v>10</v>
      </c>
      <c r="B3" s="1067"/>
      <c r="C3" s="1067"/>
      <c r="D3" s="1067"/>
      <c r="E3" s="1067"/>
      <c r="F3" s="1067"/>
      <c r="G3" s="1067"/>
      <c r="H3" s="1067"/>
      <c r="I3" s="1067"/>
    </row>
    <row r="4" spans="1:9" s="118" customFormat="1" ht="15" customHeight="1" x14ac:dyDescent="0.25">
      <c r="A4" s="1067" t="s">
        <v>47</v>
      </c>
      <c r="B4" s="1067"/>
      <c r="C4" s="1067"/>
      <c r="D4" s="1067"/>
      <c r="E4" s="1067"/>
      <c r="F4" s="1067"/>
      <c r="G4" s="1067"/>
      <c r="H4" s="1067"/>
      <c r="I4" s="1067"/>
    </row>
    <row r="5" spans="1:9" s="118" customFormat="1" ht="3" customHeight="1" x14ac:dyDescent="0.25">
      <c r="B5" s="586"/>
    </row>
    <row r="6" spans="1:9" s="118" customFormat="1" ht="15" customHeight="1" x14ac:dyDescent="0.25">
      <c r="A6" s="586" t="s">
        <v>161</v>
      </c>
      <c r="B6" s="586"/>
    </row>
    <row r="7" spans="1:9" s="118" customFormat="1" ht="15" customHeight="1" x14ac:dyDescent="0.25">
      <c r="A7" s="118" t="s">
        <v>60</v>
      </c>
    </row>
    <row r="8" spans="1:9" s="118" customFormat="1" ht="15" customHeight="1" x14ac:dyDescent="0.25">
      <c r="A8" s="118" t="s">
        <v>59</v>
      </c>
    </row>
    <row r="9" spans="1:9" ht="3.75" customHeight="1" x14ac:dyDescent="0.25"/>
    <row r="10" spans="1:9" x14ac:dyDescent="0.25">
      <c r="A10" s="1124" t="s">
        <v>0</v>
      </c>
      <c r="B10" s="1125"/>
      <c r="C10" s="1120" t="s">
        <v>1</v>
      </c>
      <c r="D10" s="212" t="s">
        <v>2</v>
      </c>
      <c r="E10" s="1082" t="s">
        <v>105</v>
      </c>
      <c r="F10" s="1124" t="s">
        <v>8</v>
      </c>
      <c r="G10" s="1129"/>
      <c r="H10" s="1125"/>
      <c r="I10" s="212" t="s">
        <v>3</v>
      </c>
    </row>
    <row r="11" spans="1:9" ht="54" customHeight="1" x14ac:dyDescent="0.25">
      <c r="A11" s="1126"/>
      <c r="B11" s="1127"/>
      <c r="C11" s="1121"/>
      <c r="D11" s="213" t="s">
        <v>4</v>
      </c>
      <c r="E11" s="1083"/>
      <c r="F11" s="618" t="s">
        <v>46</v>
      </c>
      <c r="G11" s="618" t="s">
        <v>45</v>
      </c>
      <c r="H11" s="212" t="s">
        <v>5</v>
      </c>
      <c r="I11" s="213" t="s">
        <v>6</v>
      </c>
    </row>
    <row r="12" spans="1:9" x14ac:dyDescent="0.25">
      <c r="A12" s="588"/>
      <c r="B12" s="619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9" x14ac:dyDescent="0.25">
      <c r="A13" s="588"/>
      <c r="B13" s="619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590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620" t="s">
        <v>11</v>
      </c>
      <c r="B15" s="646"/>
      <c r="C15" s="213"/>
      <c r="D15" s="213"/>
      <c r="E15" s="213"/>
      <c r="F15" s="213"/>
      <c r="G15" s="213"/>
      <c r="H15" s="751"/>
      <c r="I15" s="213"/>
    </row>
    <row r="16" spans="1:9" x14ac:dyDescent="0.25">
      <c r="A16" s="100"/>
      <c r="B16" s="105" t="s">
        <v>219</v>
      </c>
      <c r="C16" s="89" t="s">
        <v>73</v>
      </c>
      <c r="D16" s="98">
        <v>178680</v>
      </c>
      <c r="E16" s="98">
        <v>183936</v>
      </c>
      <c r="F16" s="98"/>
      <c r="G16" s="550">
        <f>H16-F16</f>
        <v>191600</v>
      </c>
      <c r="H16" s="98">
        <v>191600</v>
      </c>
      <c r="I16" s="550">
        <f>[1]LDRRMO!$L$32</f>
        <v>191940</v>
      </c>
    </row>
    <row r="17" spans="1:11" x14ac:dyDescent="0.25">
      <c r="A17" s="100"/>
      <c r="B17" s="105" t="s">
        <v>220</v>
      </c>
      <c r="C17" s="89" t="s">
        <v>86</v>
      </c>
      <c r="D17" s="98">
        <v>29280</v>
      </c>
      <c r="E17" s="98">
        <v>60000</v>
      </c>
      <c r="F17" s="98"/>
      <c r="G17" s="550">
        <f t="shared" ref="G17:G29" si="0">H17-F17</f>
        <v>31991.34</v>
      </c>
      <c r="H17" s="98">
        <v>31991.34</v>
      </c>
      <c r="I17" s="98">
        <f>[1]LDRRMO!$M$32</f>
        <v>120922.75</v>
      </c>
    </row>
    <row r="18" spans="1:11" x14ac:dyDescent="0.25">
      <c r="A18" s="100"/>
      <c r="B18" s="538" t="s">
        <v>221</v>
      </c>
      <c r="C18" s="184" t="s">
        <v>74</v>
      </c>
      <c r="D18" s="98">
        <v>24000</v>
      </c>
      <c r="E18" s="98">
        <v>24000</v>
      </c>
      <c r="F18" s="98"/>
      <c r="G18" s="550">
        <f t="shared" si="0"/>
        <v>24500</v>
      </c>
      <c r="H18" s="98">
        <v>24500</v>
      </c>
      <c r="I18" s="550">
        <f>[1]LDRRMO!$N$32</f>
        <v>24000</v>
      </c>
    </row>
    <row r="19" spans="1:11" x14ac:dyDescent="0.25">
      <c r="A19" s="100"/>
      <c r="B19" s="538" t="s">
        <v>224</v>
      </c>
      <c r="C19" s="184" t="s">
        <v>75</v>
      </c>
      <c r="D19" s="98">
        <v>0</v>
      </c>
      <c r="E19" s="98"/>
      <c r="F19" s="98"/>
      <c r="G19" s="550">
        <f t="shared" si="0"/>
        <v>0</v>
      </c>
      <c r="H19" s="98"/>
      <c r="I19" s="550">
        <f>[1]LDRRMO!$O$32</f>
        <v>0</v>
      </c>
    </row>
    <row r="20" spans="1:11" x14ac:dyDescent="0.25">
      <c r="A20" s="100"/>
      <c r="B20" s="538" t="s">
        <v>223</v>
      </c>
      <c r="C20" s="184" t="s">
        <v>76</v>
      </c>
      <c r="D20" s="98">
        <v>0</v>
      </c>
      <c r="E20" s="98"/>
      <c r="F20" s="98"/>
      <c r="G20" s="550">
        <f t="shared" si="0"/>
        <v>0</v>
      </c>
      <c r="H20" s="98"/>
      <c r="I20" s="550">
        <f>[1]LDRRMO!$P$32</f>
        <v>0</v>
      </c>
    </row>
    <row r="21" spans="1:11" x14ac:dyDescent="0.25">
      <c r="A21" s="100"/>
      <c r="B21" s="538" t="s">
        <v>222</v>
      </c>
      <c r="C21" s="184" t="s">
        <v>77</v>
      </c>
      <c r="D21" s="98">
        <v>5000</v>
      </c>
      <c r="E21" s="98">
        <v>5000</v>
      </c>
      <c r="F21" s="98"/>
      <c r="G21" s="550">
        <f t="shared" si="0"/>
        <v>6000</v>
      </c>
      <c r="H21" s="98">
        <v>6000</v>
      </c>
      <c r="I21" s="550">
        <f>[1]LDRRMO!$Q$32</f>
        <v>6000</v>
      </c>
    </row>
    <row r="22" spans="1:11" x14ac:dyDescent="0.25">
      <c r="A22" s="100"/>
      <c r="B22" s="538" t="s">
        <v>225</v>
      </c>
      <c r="C22" s="184" t="s">
        <v>78</v>
      </c>
      <c r="D22" s="98">
        <v>5000</v>
      </c>
      <c r="E22" s="98">
        <v>5000</v>
      </c>
      <c r="F22" s="98"/>
      <c r="G22" s="550">
        <f t="shared" si="0"/>
        <v>5000</v>
      </c>
      <c r="H22" s="98">
        <v>5000</v>
      </c>
      <c r="I22" s="550">
        <f>[1]LDRRMO!$R$32</f>
        <v>5000</v>
      </c>
    </row>
    <row r="23" spans="1:11" x14ac:dyDescent="0.25">
      <c r="A23" s="100"/>
      <c r="B23" s="538" t="s">
        <v>226</v>
      </c>
      <c r="C23" s="184" t="s">
        <v>80</v>
      </c>
      <c r="D23" s="98">
        <f>15065+14715</f>
        <v>29780</v>
      </c>
      <c r="E23" s="98">
        <f>15134*2</f>
        <v>30268</v>
      </c>
      <c r="F23" s="98">
        <f>194+15134</f>
        <v>15328</v>
      </c>
      <c r="G23" s="550">
        <f t="shared" si="0"/>
        <v>13940</v>
      </c>
      <c r="H23" s="98">
        <f>14134+15134</f>
        <v>29268</v>
      </c>
      <c r="I23" s="550">
        <f>[1]LDRRMO!$S$32</f>
        <v>31990</v>
      </c>
    </row>
    <row r="24" spans="1:11" x14ac:dyDescent="0.25">
      <c r="A24" s="100"/>
      <c r="B24" s="538" t="s">
        <v>227</v>
      </c>
      <c r="C24" s="184" t="s">
        <v>79</v>
      </c>
      <c r="D24" s="98">
        <v>5000</v>
      </c>
      <c r="E24" s="98">
        <v>5000</v>
      </c>
      <c r="F24" s="98"/>
      <c r="G24" s="550">
        <f t="shared" si="0"/>
        <v>5000</v>
      </c>
      <c r="H24" s="98">
        <v>5000</v>
      </c>
      <c r="I24" s="550">
        <f>[1]LDRRMO!$T$32</f>
        <v>5000</v>
      </c>
    </row>
    <row r="25" spans="1:11" x14ac:dyDescent="0.25">
      <c r="A25" s="100"/>
      <c r="B25" s="538" t="s">
        <v>228</v>
      </c>
      <c r="C25" s="184" t="s">
        <v>81</v>
      </c>
      <c r="D25" s="98">
        <v>20868</v>
      </c>
      <c r="E25" s="98">
        <v>21792.959999999999</v>
      </c>
      <c r="F25" s="98"/>
      <c r="G25" s="550">
        <f t="shared" si="0"/>
        <v>9301.92</v>
      </c>
      <c r="H25" s="98">
        <v>9301.92</v>
      </c>
      <c r="I25" s="550">
        <f>[1]LDRRMO!$U$32</f>
        <v>23032.799999999999</v>
      </c>
    </row>
    <row r="26" spans="1:11" x14ac:dyDescent="0.25">
      <c r="A26" s="100"/>
      <c r="B26" s="538" t="s">
        <v>229</v>
      </c>
      <c r="C26" s="184" t="s">
        <v>82</v>
      </c>
      <c r="D26" s="98">
        <v>1773.6</v>
      </c>
      <c r="E26" s="98">
        <v>1200</v>
      </c>
      <c r="F26" s="98"/>
      <c r="G26" s="550">
        <f t="shared" si="0"/>
        <v>1000</v>
      </c>
      <c r="H26" s="98">
        <v>1000</v>
      </c>
      <c r="I26" s="550">
        <f>[1]LDRRMO!$V$32</f>
        <v>1200</v>
      </c>
    </row>
    <row r="27" spans="1:11" x14ac:dyDescent="0.25">
      <c r="A27" s="100"/>
      <c r="B27" s="538" t="s">
        <v>230</v>
      </c>
      <c r="C27" s="184" t="s">
        <v>83</v>
      </c>
      <c r="D27" s="98">
        <v>1400</v>
      </c>
      <c r="E27" s="98">
        <v>1200</v>
      </c>
      <c r="F27" s="98"/>
      <c r="G27" s="550">
        <f t="shared" si="0"/>
        <v>855.08</v>
      </c>
      <c r="H27" s="98">
        <v>855.08</v>
      </c>
      <c r="I27" s="550">
        <f>[1]LDRRMO!$W$32</f>
        <v>2639.1750000000002</v>
      </c>
    </row>
    <row r="28" spans="1:11" x14ac:dyDescent="0.25">
      <c r="A28" s="100"/>
      <c r="B28" s="551" t="s">
        <v>231</v>
      </c>
      <c r="C28" s="184" t="s">
        <v>84</v>
      </c>
      <c r="D28" s="98">
        <v>1118.68</v>
      </c>
      <c r="E28" s="98">
        <v>1816.08</v>
      </c>
      <c r="F28" s="98"/>
      <c r="G28" s="550">
        <f t="shared" si="0"/>
        <v>500</v>
      </c>
      <c r="H28" s="98">
        <v>500</v>
      </c>
      <c r="I28" s="550">
        <f>[1]LDRRMO!$X$32</f>
        <v>1919.4</v>
      </c>
    </row>
    <row r="29" spans="1:11" x14ac:dyDescent="0.25">
      <c r="A29" s="596"/>
      <c r="B29" s="539" t="s">
        <v>233</v>
      </c>
      <c r="C29" s="186" t="s">
        <v>85</v>
      </c>
      <c r="D29" s="106">
        <v>14183.11</v>
      </c>
      <c r="E29" s="106">
        <v>14586.97</v>
      </c>
      <c r="F29" s="106"/>
      <c r="G29" s="553">
        <f t="shared" si="0"/>
        <v>9500</v>
      </c>
      <c r="H29" s="106">
        <v>9500</v>
      </c>
      <c r="I29" s="553">
        <f>[1]LDRRMO!$Z$32</f>
        <v>15416.844730000001</v>
      </c>
    </row>
    <row r="30" spans="1:11" ht="15" customHeight="1" x14ac:dyDescent="0.25">
      <c r="A30" s="143" t="s">
        <v>71</v>
      </c>
      <c r="B30" s="555"/>
      <c r="C30" s="707"/>
      <c r="D30" s="557">
        <f>SUM(D16:D29)</f>
        <v>316083.38999999996</v>
      </c>
      <c r="E30" s="557">
        <f t="shared" ref="E30:H30" si="1">SUM(E16:E29)</f>
        <v>353800.01</v>
      </c>
      <c r="F30" s="557">
        <f t="shared" si="1"/>
        <v>15328</v>
      </c>
      <c r="G30" s="557">
        <f t="shared" si="1"/>
        <v>299188.33999999997</v>
      </c>
      <c r="H30" s="557">
        <f t="shared" si="1"/>
        <v>314516.33999999997</v>
      </c>
      <c r="I30" s="557">
        <f>SUM(I16:I29)</f>
        <v>429060.96973000001</v>
      </c>
      <c r="J30" s="593"/>
      <c r="K30" s="593"/>
    </row>
    <row r="31" spans="1:11" x14ac:dyDescent="0.25">
      <c r="A31" s="623" t="s">
        <v>14</v>
      </c>
      <c r="B31" s="624"/>
      <c r="C31" s="130"/>
      <c r="D31" s="130"/>
      <c r="E31" s="130"/>
      <c r="F31" s="130"/>
      <c r="G31" s="130"/>
      <c r="H31" s="130"/>
      <c r="I31" s="130"/>
    </row>
    <row r="32" spans="1:11" x14ac:dyDescent="0.25">
      <c r="A32" s="588"/>
      <c r="B32" s="99" t="s">
        <v>234</v>
      </c>
      <c r="C32" s="28" t="s">
        <v>92</v>
      </c>
      <c r="D32" s="711">
        <v>21839</v>
      </c>
      <c r="E32" s="747">
        <v>30000</v>
      </c>
      <c r="F32" s="711">
        <v>7030</v>
      </c>
      <c r="G32" s="746">
        <f t="shared" ref="G32:G40" si="2">H32-F32</f>
        <v>5480</v>
      </c>
      <c r="H32" s="701">
        <v>12510</v>
      </c>
      <c r="I32" s="747">
        <v>25000</v>
      </c>
    </row>
    <row r="33" spans="1:11" x14ac:dyDescent="0.25">
      <c r="A33" s="588"/>
      <c r="B33" s="99" t="s">
        <v>235</v>
      </c>
      <c r="C33" s="28" t="s">
        <v>93</v>
      </c>
      <c r="D33" s="711"/>
      <c r="E33" s="747"/>
      <c r="F33" s="711"/>
      <c r="G33" s="746">
        <f t="shared" si="2"/>
        <v>0</v>
      </c>
      <c r="H33" s="701"/>
      <c r="I33" s="747"/>
    </row>
    <row r="34" spans="1:11" x14ac:dyDescent="0.25">
      <c r="A34" s="588"/>
      <c r="B34" s="99" t="s">
        <v>236</v>
      </c>
      <c r="C34" s="28" t="s">
        <v>94</v>
      </c>
      <c r="D34" s="711">
        <v>17167.8</v>
      </c>
      <c r="E34" s="747">
        <v>30000</v>
      </c>
      <c r="F34" s="711">
        <v>9994.9500000000007</v>
      </c>
      <c r="G34" s="746">
        <f t="shared" si="2"/>
        <v>7004.6699999999983</v>
      </c>
      <c r="H34" s="701">
        <v>16999.62</v>
      </c>
      <c r="I34" s="747">
        <v>25000</v>
      </c>
    </row>
    <row r="35" spans="1:11" x14ac:dyDescent="0.25">
      <c r="A35" s="588"/>
      <c r="B35" s="151" t="s">
        <v>268</v>
      </c>
      <c r="C35" s="28" t="s">
        <v>98</v>
      </c>
      <c r="D35" s="711"/>
      <c r="E35" s="747"/>
      <c r="F35" s="711"/>
      <c r="G35" s="746">
        <f t="shared" si="2"/>
        <v>0</v>
      </c>
      <c r="H35" s="711"/>
      <c r="I35" s="747"/>
    </row>
    <row r="36" spans="1:11" x14ac:dyDescent="0.25">
      <c r="A36" s="588"/>
      <c r="B36" s="99" t="s">
        <v>237</v>
      </c>
      <c r="C36" s="28" t="s">
        <v>95</v>
      </c>
      <c r="D36" s="711">
        <v>13598.91</v>
      </c>
      <c r="E36" s="747">
        <v>20000</v>
      </c>
      <c r="F36" s="711"/>
      <c r="G36" s="746">
        <f t="shared" si="2"/>
        <v>30589.61</v>
      </c>
      <c r="H36" s="701">
        <v>30589.61</v>
      </c>
      <c r="I36" s="747">
        <v>12000</v>
      </c>
    </row>
    <row r="37" spans="1:11" x14ac:dyDescent="0.25">
      <c r="A37" s="588"/>
      <c r="B37" s="748" t="s">
        <v>238</v>
      </c>
      <c r="C37" s="28" t="s">
        <v>118</v>
      </c>
      <c r="D37" s="711"/>
      <c r="E37" s="747"/>
      <c r="F37" s="711"/>
      <c r="G37" s="746">
        <f t="shared" si="2"/>
        <v>0</v>
      </c>
      <c r="H37" s="701"/>
      <c r="I37" s="747">
        <v>20000</v>
      </c>
    </row>
    <row r="38" spans="1:11" x14ac:dyDescent="0.25">
      <c r="A38" s="588"/>
      <c r="B38" s="99" t="s">
        <v>255</v>
      </c>
      <c r="C38" s="28" t="s">
        <v>96</v>
      </c>
      <c r="D38" s="711">
        <v>58238.74</v>
      </c>
      <c r="E38" s="747">
        <v>50000</v>
      </c>
      <c r="F38" s="711"/>
      <c r="G38" s="746">
        <f t="shared" si="2"/>
        <v>30740</v>
      </c>
      <c r="H38" s="711">
        <v>30740</v>
      </c>
      <c r="I38" s="747"/>
    </row>
    <row r="39" spans="1:11" x14ac:dyDescent="0.25">
      <c r="A39" s="588"/>
      <c r="B39" s="99" t="s">
        <v>240</v>
      </c>
      <c r="C39" s="28" t="s">
        <v>99</v>
      </c>
      <c r="D39" s="711"/>
      <c r="E39" s="747"/>
      <c r="F39" s="711"/>
      <c r="G39" s="746">
        <f t="shared" si="2"/>
        <v>0</v>
      </c>
      <c r="H39" s="701"/>
      <c r="I39" s="747"/>
    </row>
    <row r="40" spans="1:11" x14ac:dyDescent="0.25">
      <c r="A40" s="588"/>
      <c r="B40" s="99" t="s">
        <v>283</v>
      </c>
      <c r="C40" s="28" t="s">
        <v>137</v>
      </c>
      <c r="D40" s="711"/>
      <c r="E40" s="747"/>
      <c r="F40" s="711"/>
      <c r="G40" s="746">
        <f t="shared" si="2"/>
        <v>0</v>
      </c>
      <c r="H40" s="701"/>
      <c r="I40" s="747">
        <v>150000</v>
      </c>
    </row>
    <row r="41" spans="1:11" ht="13.5" customHeight="1" x14ac:dyDescent="0.25">
      <c r="A41" s="142" t="s">
        <v>68</v>
      </c>
      <c r="B41" s="579"/>
      <c r="C41" s="603"/>
      <c r="D41" s="143">
        <f>SUM(D32:D40)</f>
        <v>110844.45000000001</v>
      </c>
      <c r="E41" s="143">
        <f t="shared" ref="E41:H41" si="3">SUM(E32:E40)</f>
        <v>130000</v>
      </c>
      <c r="F41" s="143">
        <f t="shared" si="3"/>
        <v>17024.95</v>
      </c>
      <c r="G41" s="143">
        <f t="shared" si="3"/>
        <v>73814.28</v>
      </c>
      <c r="H41" s="143">
        <f t="shared" si="3"/>
        <v>90839.23</v>
      </c>
      <c r="I41" s="143">
        <f>SUM(I32:I40)</f>
        <v>232000</v>
      </c>
    </row>
    <row r="42" spans="1:11" ht="14.25" customHeight="1" x14ac:dyDescent="0.25">
      <c r="A42" s="623" t="s">
        <v>13</v>
      </c>
      <c r="B42" s="624"/>
      <c r="C42" s="731"/>
      <c r="D42" s="130"/>
      <c r="E42" s="130"/>
      <c r="F42" s="130"/>
      <c r="G42" s="130"/>
      <c r="H42" s="130"/>
      <c r="I42" s="732"/>
    </row>
    <row r="43" spans="1:11" ht="14.25" customHeight="1" x14ac:dyDescent="0.25">
      <c r="A43" s="100"/>
      <c r="B43" s="105" t="s">
        <v>243</v>
      </c>
      <c r="C43" s="336" t="s">
        <v>110</v>
      </c>
      <c r="D43" s="102"/>
      <c r="E43" s="102"/>
      <c r="F43" s="102"/>
      <c r="G43" s="102"/>
      <c r="H43" s="102"/>
      <c r="I43" s="104"/>
    </row>
    <row r="44" spans="1:11" ht="14.25" customHeight="1" x14ac:dyDescent="0.25">
      <c r="A44" s="100"/>
      <c r="B44" s="105" t="s">
        <v>282</v>
      </c>
      <c r="C44" s="752" t="s">
        <v>169</v>
      </c>
      <c r="D44" s="102"/>
      <c r="E44" s="102"/>
      <c r="F44" s="102"/>
      <c r="G44" s="102"/>
      <c r="H44" s="102"/>
      <c r="I44" s="104">
        <v>15000</v>
      </c>
    </row>
    <row r="45" spans="1:11" ht="14.25" customHeight="1" x14ac:dyDescent="0.25">
      <c r="A45" s="100"/>
      <c r="B45" s="105" t="s">
        <v>311</v>
      </c>
      <c r="C45" s="752" t="s">
        <v>312</v>
      </c>
      <c r="D45" s="102"/>
      <c r="E45" s="102"/>
      <c r="F45" s="102"/>
      <c r="G45" s="102"/>
      <c r="H45" s="102"/>
      <c r="I45" s="104">
        <v>15000</v>
      </c>
    </row>
    <row r="46" spans="1:11" ht="14.25" customHeight="1" x14ac:dyDescent="0.25">
      <c r="A46" s="100"/>
      <c r="B46" s="105" t="s">
        <v>244</v>
      </c>
      <c r="C46" s="201" t="s">
        <v>108</v>
      </c>
      <c r="D46" s="102"/>
      <c r="E46" s="102"/>
      <c r="F46" s="102"/>
      <c r="G46" s="594"/>
      <c r="H46" s="594"/>
      <c r="I46" s="104"/>
    </row>
    <row r="47" spans="1:11" ht="16.5" customHeight="1" x14ac:dyDescent="0.25">
      <c r="A47" s="596"/>
      <c r="B47" s="501" t="s">
        <v>245</v>
      </c>
      <c r="C47" s="546" t="s">
        <v>107</v>
      </c>
      <c r="D47" s="601"/>
      <c r="E47" s="601"/>
      <c r="F47" s="753"/>
      <c r="G47" s="601"/>
      <c r="H47" s="601"/>
      <c r="I47" s="188">
        <f>50000</f>
        <v>50000</v>
      </c>
    </row>
    <row r="48" spans="1:11" x14ac:dyDescent="0.25">
      <c r="A48" s="143" t="s">
        <v>72</v>
      </c>
      <c r="B48" s="555"/>
      <c r="C48" s="603"/>
      <c r="D48" s="143">
        <f>SUM(D43:D47)</f>
        <v>0</v>
      </c>
      <c r="E48" s="143">
        <f t="shared" ref="E48:H48" si="4">SUM(E43:E47)</f>
        <v>0</v>
      </c>
      <c r="F48" s="143">
        <f t="shared" si="4"/>
        <v>0</v>
      </c>
      <c r="G48" s="143">
        <f t="shared" si="4"/>
        <v>0</v>
      </c>
      <c r="H48" s="143">
        <f t="shared" si="4"/>
        <v>0</v>
      </c>
      <c r="I48" s="143">
        <f>SUM(I43:I47)</f>
        <v>80000</v>
      </c>
      <c r="K48" s="593"/>
    </row>
    <row r="49" spans="1:10" x14ac:dyDescent="0.25">
      <c r="A49" s="542" t="s">
        <v>20</v>
      </c>
      <c r="B49" s="606"/>
      <c r="C49" s="750"/>
      <c r="D49" s="143">
        <f>D30+D48+D41</f>
        <v>426927.83999999997</v>
      </c>
      <c r="E49" s="143"/>
      <c r="F49" s="143">
        <f>F30+F48+F41</f>
        <v>32352.95</v>
      </c>
      <c r="G49" s="143">
        <f>+G30+G41+G48</f>
        <v>373002.62</v>
      </c>
      <c r="H49" s="143">
        <f>+H30+H41+H48</f>
        <v>405355.56999999995</v>
      </c>
      <c r="I49" s="143">
        <f>I30+I48+I41</f>
        <v>741060.96973000001</v>
      </c>
      <c r="J49" s="593"/>
    </row>
    <row r="50" spans="1:10" x14ac:dyDescent="0.25">
      <c r="B50" s="150"/>
      <c r="C50" s="151"/>
      <c r="D50" s="152"/>
      <c r="E50" s="152"/>
      <c r="F50" s="152"/>
      <c r="G50" s="149"/>
      <c r="H50" s="149"/>
      <c r="I50" s="149"/>
    </row>
    <row r="51" spans="1:10" x14ac:dyDescent="0.25">
      <c r="B51" s="153" t="s">
        <v>22</v>
      </c>
      <c r="C51" s="36" t="s">
        <v>23</v>
      </c>
      <c r="D51" s="36"/>
      <c r="E51" s="36"/>
      <c r="F51" s="113"/>
      <c r="G51" s="36" t="s">
        <v>24</v>
      </c>
      <c r="H51" s="36"/>
      <c r="I51" s="36"/>
    </row>
    <row r="52" spans="1:10" x14ac:dyDescent="0.25">
      <c r="B52" s="36"/>
      <c r="C52" s="36"/>
      <c r="D52" s="36"/>
      <c r="E52" s="36"/>
      <c r="F52" s="113"/>
      <c r="G52" s="36"/>
      <c r="H52" s="36"/>
      <c r="I52" s="36"/>
    </row>
    <row r="53" spans="1:10" x14ac:dyDescent="0.25">
      <c r="B53" s="216" t="s">
        <v>58</v>
      </c>
      <c r="C53" s="1128" t="s">
        <v>51</v>
      </c>
      <c r="D53" s="1128"/>
      <c r="E53" s="1128"/>
      <c r="F53" s="1128"/>
      <c r="G53" s="1085" t="s">
        <v>117</v>
      </c>
      <c r="H53" s="1085"/>
      <c r="I53" s="1085"/>
    </row>
    <row r="54" spans="1:10" x14ac:dyDescent="0.25">
      <c r="B54" s="206" t="s">
        <v>63</v>
      </c>
      <c r="C54" s="1070" t="s">
        <v>64</v>
      </c>
      <c r="D54" s="1070"/>
      <c r="E54" s="1070"/>
      <c r="F54" s="1070"/>
      <c r="G54" s="1070" t="s">
        <v>67</v>
      </c>
      <c r="H54" s="1070"/>
      <c r="I54" s="1070"/>
    </row>
  </sheetData>
  <sheetProtection selectLockedCells="1" selectUnlockedCells="1"/>
  <mergeCells count="10">
    <mergeCell ref="A3:I3"/>
    <mergeCell ref="A4:I4"/>
    <mergeCell ref="A10:B11"/>
    <mergeCell ref="C53:F53"/>
    <mergeCell ref="G53:I53"/>
    <mergeCell ref="C54:F54"/>
    <mergeCell ref="G54:I54"/>
    <mergeCell ref="C10:C11"/>
    <mergeCell ref="F10:H10"/>
    <mergeCell ref="E10:E14"/>
  </mergeCells>
  <printOptions horizontalCentered="1"/>
  <pageMargins left="0.41" right="0" top="0.75" bottom="0" header="0" footer="0"/>
  <pageSetup scale="70" orientation="portrait" r:id="rId1"/>
  <headerFooter>
    <oddHeader>&amp;R&amp;D   &amp;T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4"/>
  <sheetViews>
    <sheetView topLeftCell="A37" zoomScale="120" zoomScaleNormal="120" workbookViewId="0">
      <selection activeCell="C60" sqref="C60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17.28515625" style="41" customWidth="1"/>
    <col min="11" max="11" width="12.28515625" style="41" bestFit="1" customWidth="1"/>
    <col min="12" max="16384" width="9.140625" style="41"/>
  </cols>
  <sheetData>
    <row r="1" spans="1:9" x14ac:dyDescent="0.25">
      <c r="A1" s="41" t="s">
        <v>9</v>
      </c>
      <c r="I1" s="41" t="s">
        <v>27</v>
      </c>
    </row>
    <row r="2" spans="1:9" s="118" customFormat="1" ht="6.75" customHeight="1" x14ac:dyDescent="0.25"/>
    <row r="3" spans="1:9" s="118" customFormat="1" ht="15" customHeight="1" x14ac:dyDescent="0.25">
      <c r="A3" s="1067" t="s">
        <v>10</v>
      </c>
      <c r="B3" s="1067"/>
      <c r="C3" s="1067"/>
      <c r="D3" s="1067"/>
      <c r="E3" s="1067"/>
      <c r="F3" s="1067"/>
      <c r="G3" s="1067"/>
      <c r="H3" s="1067"/>
      <c r="I3" s="1067"/>
    </row>
    <row r="4" spans="1:9" s="118" customFormat="1" ht="15" customHeight="1" x14ac:dyDescent="0.25">
      <c r="A4" s="1067" t="s">
        <v>47</v>
      </c>
      <c r="B4" s="1067"/>
      <c r="C4" s="1067"/>
      <c r="D4" s="1067"/>
      <c r="E4" s="1067"/>
      <c r="F4" s="1067"/>
      <c r="G4" s="1067"/>
      <c r="H4" s="1067"/>
      <c r="I4" s="1067"/>
    </row>
    <row r="5" spans="1:9" s="118" customFormat="1" ht="3" customHeight="1" x14ac:dyDescent="0.25">
      <c r="B5" s="586"/>
    </row>
    <row r="6" spans="1:9" s="118" customFormat="1" ht="15" customHeight="1" x14ac:dyDescent="0.25">
      <c r="A6" s="586" t="s">
        <v>164</v>
      </c>
      <c r="B6" s="586"/>
    </row>
    <row r="7" spans="1:9" s="118" customFormat="1" ht="15" customHeight="1" x14ac:dyDescent="0.25">
      <c r="A7" s="118" t="s">
        <v>165</v>
      </c>
    </row>
    <row r="8" spans="1:9" s="118" customFormat="1" ht="15" customHeight="1" x14ac:dyDescent="0.25">
      <c r="A8" s="118" t="s">
        <v>59</v>
      </c>
    </row>
    <row r="9" spans="1:9" ht="3.75" customHeight="1" x14ac:dyDescent="0.25"/>
    <row r="10" spans="1:9" x14ac:dyDescent="0.25">
      <c r="A10" s="1124" t="s">
        <v>0</v>
      </c>
      <c r="B10" s="1125"/>
      <c r="C10" s="1120" t="s">
        <v>1</v>
      </c>
      <c r="D10" s="212" t="s">
        <v>2</v>
      </c>
      <c r="E10" s="1082" t="s">
        <v>105</v>
      </c>
      <c r="F10" s="1124" t="s">
        <v>8</v>
      </c>
      <c r="G10" s="1129"/>
      <c r="H10" s="1125"/>
      <c r="I10" s="212" t="s">
        <v>3</v>
      </c>
    </row>
    <row r="11" spans="1:9" ht="54" customHeight="1" x14ac:dyDescent="0.25">
      <c r="A11" s="1126"/>
      <c r="B11" s="1127"/>
      <c r="C11" s="1121"/>
      <c r="D11" s="213" t="s">
        <v>4</v>
      </c>
      <c r="E11" s="1083"/>
      <c r="F11" s="618" t="s">
        <v>46</v>
      </c>
      <c r="G11" s="618" t="s">
        <v>45</v>
      </c>
      <c r="H11" s="212" t="s">
        <v>5</v>
      </c>
      <c r="I11" s="213" t="s">
        <v>6</v>
      </c>
    </row>
    <row r="12" spans="1:9" x14ac:dyDescent="0.25">
      <c r="A12" s="1133"/>
      <c r="B12" s="1134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9" x14ac:dyDescent="0.25">
      <c r="A13" s="1133"/>
      <c r="B13" s="1134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1131">
        <v>1</v>
      </c>
      <c r="B14" s="1132"/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620" t="s">
        <v>11</v>
      </c>
      <c r="B15" s="620"/>
      <c r="C15" s="213"/>
      <c r="D15" s="213"/>
      <c r="E15" s="213"/>
      <c r="F15" s="213"/>
      <c r="G15" s="213"/>
      <c r="H15" s="213"/>
      <c r="I15" s="213"/>
    </row>
    <row r="16" spans="1:9" x14ac:dyDescent="0.25">
      <c r="A16" s="100"/>
      <c r="B16" s="105" t="s">
        <v>219</v>
      </c>
      <c r="C16" s="89" t="s">
        <v>73</v>
      </c>
      <c r="D16" s="98">
        <v>117907.18</v>
      </c>
      <c r="E16" s="98">
        <v>128520</v>
      </c>
      <c r="F16" s="98">
        <v>63358</v>
      </c>
      <c r="G16" s="594">
        <f>H16-F16</f>
        <v>65342</v>
      </c>
      <c r="H16" s="98">
        <v>128700</v>
      </c>
      <c r="I16" s="550">
        <f>[1]Market!$L$32</f>
        <v>232608</v>
      </c>
    </row>
    <row r="17" spans="1:11" x14ac:dyDescent="0.25">
      <c r="A17" s="100"/>
      <c r="B17" s="105" t="s">
        <v>220</v>
      </c>
      <c r="C17" s="89" t="s">
        <v>86</v>
      </c>
      <c r="D17" s="98">
        <v>252400</v>
      </c>
      <c r="E17" s="98">
        <v>150000</v>
      </c>
      <c r="F17" s="98">
        <v>116171.55</v>
      </c>
      <c r="G17" s="594">
        <f t="shared" ref="G17:G29" si="0">H17-F17</f>
        <v>32969.999999999985</v>
      </c>
      <c r="H17" s="98">
        <v>149141.54999999999</v>
      </c>
      <c r="I17" s="98">
        <f>[1]Market!$M$32</f>
        <v>150000</v>
      </c>
    </row>
    <row r="18" spans="1:11" x14ac:dyDescent="0.25">
      <c r="A18" s="100"/>
      <c r="B18" s="538" t="s">
        <v>221</v>
      </c>
      <c r="C18" s="184" t="s">
        <v>74</v>
      </c>
      <c r="D18" s="98">
        <v>25227.27</v>
      </c>
      <c r="E18" s="98">
        <v>24000</v>
      </c>
      <c r="F18" s="98">
        <v>12000</v>
      </c>
      <c r="G18" s="594">
        <f t="shared" si="0"/>
        <v>12000</v>
      </c>
      <c r="H18" s="98">
        <v>24000</v>
      </c>
      <c r="I18" s="550">
        <f>[1]Market!$N$32</f>
        <v>48000</v>
      </c>
    </row>
    <row r="19" spans="1:11" x14ac:dyDescent="0.25">
      <c r="A19" s="100"/>
      <c r="B19" s="538" t="s">
        <v>224</v>
      </c>
      <c r="C19" s="184" t="s">
        <v>75</v>
      </c>
      <c r="D19" s="98"/>
      <c r="E19" s="98"/>
      <c r="F19" s="98"/>
      <c r="G19" s="594">
        <f t="shared" si="0"/>
        <v>0</v>
      </c>
      <c r="H19" s="98"/>
      <c r="I19" s="550">
        <f>[1]Market!$O$32</f>
        <v>0</v>
      </c>
    </row>
    <row r="20" spans="1:11" x14ac:dyDescent="0.25">
      <c r="A20" s="100"/>
      <c r="B20" s="538" t="s">
        <v>223</v>
      </c>
      <c r="C20" s="184" t="s">
        <v>76</v>
      </c>
      <c r="D20" s="98"/>
      <c r="E20" s="98"/>
      <c r="F20" s="98"/>
      <c r="G20" s="594">
        <f t="shared" si="0"/>
        <v>0</v>
      </c>
      <c r="H20" s="98"/>
      <c r="I20" s="550">
        <f>[1]Market!$P$32</f>
        <v>0</v>
      </c>
    </row>
    <row r="21" spans="1:11" x14ac:dyDescent="0.25">
      <c r="A21" s="100"/>
      <c r="B21" s="538" t="s">
        <v>222</v>
      </c>
      <c r="C21" s="184" t="s">
        <v>77</v>
      </c>
      <c r="D21" s="98">
        <v>5000</v>
      </c>
      <c r="E21" s="98">
        <v>5000</v>
      </c>
      <c r="F21" s="98"/>
      <c r="G21" s="594">
        <f t="shared" si="0"/>
        <v>6000</v>
      </c>
      <c r="H21" s="98">
        <v>6000</v>
      </c>
      <c r="I21" s="550">
        <f>[1]Market!$Q$32</f>
        <v>12000</v>
      </c>
    </row>
    <row r="22" spans="1:11" x14ac:dyDescent="0.25">
      <c r="A22" s="100"/>
      <c r="B22" s="538" t="s">
        <v>225</v>
      </c>
      <c r="C22" s="184" t="s">
        <v>78</v>
      </c>
      <c r="D22" s="98">
        <v>5000</v>
      </c>
      <c r="E22" s="98">
        <v>5000</v>
      </c>
      <c r="F22" s="98"/>
      <c r="G22" s="594">
        <f t="shared" si="0"/>
        <v>6000</v>
      </c>
      <c r="H22" s="98">
        <v>6000</v>
      </c>
      <c r="I22" s="550">
        <f>[1]Market!$R$32</f>
        <v>10000</v>
      </c>
    </row>
    <row r="23" spans="1:11" x14ac:dyDescent="0.25">
      <c r="A23" s="100"/>
      <c r="B23" s="538" t="s">
        <v>226</v>
      </c>
      <c r="C23" s="184" t="s">
        <v>80</v>
      </c>
      <c r="D23" s="98">
        <f>10259*2</f>
        <v>20518</v>
      </c>
      <c r="E23" s="98">
        <f>10710+5710</f>
        <v>16420</v>
      </c>
      <c r="F23" s="98">
        <f>10710</f>
        <v>10710</v>
      </c>
      <c r="G23" s="594">
        <f t="shared" si="0"/>
        <v>5710</v>
      </c>
      <c r="H23" s="98">
        <f>10710+5710</f>
        <v>16420</v>
      </c>
      <c r="I23" s="550">
        <f>[1]Market!$S$32</f>
        <v>38768</v>
      </c>
    </row>
    <row r="24" spans="1:11" x14ac:dyDescent="0.25">
      <c r="A24" s="100"/>
      <c r="B24" s="538" t="s">
        <v>227</v>
      </c>
      <c r="C24" s="184" t="s">
        <v>79</v>
      </c>
      <c r="D24" s="98">
        <v>5000</v>
      </c>
      <c r="E24" s="98">
        <v>10000</v>
      </c>
      <c r="F24" s="98"/>
      <c r="G24" s="594">
        <f t="shared" si="0"/>
        <v>10000</v>
      </c>
      <c r="H24" s="98">
        <v>10000</v>
      </c>
      <c r="I24" s="550">
        <f>[1]Market!$T$32</f>
        <v>10000</v>
      </c>
    </row>
    <row r="25" spans="1:11" x14ac:dyDescent="0.25">
      <c r="A25" s="100"/>
      <c r="B25" s="538" t="s">
        <v>228</v>
      </c>
      <c r="C25" s="184" t="s">
        <v>81</v>
      </c>
      <c r="D25" s="98">
        <v>11971.94</v>
      </c>
      <c r="E25" s="98">
        <v>15422.4</v>
      </c>
      <c r="F25" s="98">
        <v>7602.96</v>
      </c>
      <c r="G25" s="594">
        <f t="shared" si="0"/>
        <v>7819.44</v>
      </c>
      <c r="H25" s="98">
        <v>15422.4</v>
      </c>
      <c r="I25" s="550">
        <f>[1]Market!$U$32</f>
        <v>27912.959999999999</v>
      </c>
    </row>
    <row r="26" spans="1:11" x14ac:dyDescent="0.25">
      <c r="A26" s="100"/>
      <c r="B26" s="538" t="s">
        <v>229</v>
      </c>
      <c r="C26" s="184" t="s">
        <v>82</v>
      </c>
      <c r="D26" s="98">
        <v>1000</v>
      </c>
      <c r="E26" s="98">
        <v>1200</v>
      </c>
      <c r="F26" s="98">
        <v>600</v>
      </c>
      <c r="G26" s="594">
        <f t="shared" si="0"/>
        <v>600</v>
      </c>
      <c r="H26" s="98">
        <v>1200</v>
      </c>
      <c r="I26" s="550">
        <f>[1]Market!$V$32</f>
        <v>2400</v>
      </c>
    </row>
    <row r="27" spans="1:11" x14ac:dyDescent="0.25">
      <c r="A27" s="100"/>
      <c r="B27" s="538" t="s">
        <v>230</v>
      </c>
      <c r="C27" s="184" t="s">
        <v>83</v>
      </c>
      <c r="D27" s="98">
        <v>1625</v>
      </c>
      <c r="E27" s="98">
        <v>1350</v>
      </c>
      <c r="F27" s="98">
        <v>839.08</v>
      </c>
      <c r="G27" s="594">
        <f t="shared" si="0"/>
        <v>817.88</v>
      </c>
      <c r="H27" s="98">
        <v>1656.96</v>
      </c>
      <c r="I27" s="550">
        <f>[1]Market!$W$32</f>
        <v>3198.3599999999997</v>
      </c>
    </row>
    <row r="28" spans="1:11" x14ac:dyDescent="0.25">
      <c r="A28" s="100"/>
      <c r="B28" s="551" t="s">
        <v>231</v>
      </c>
      <c r="C28" s="184" t="s">
        <v>84</v>
      </c>
      <c r="D28" s="98">
        <v>1047.8800000000001</v>
      </c>
      <c r="E28" s="98">
        <v>1285.2</v>
      </c>
      <c r="F28" s="98">
        <v>600</v>
      </c>
      <c r="G28" s="594">
        <f t="shared" si="0"/>
        <v>678.16000000000008</v>
      </c>
      <c r="H28" s="98">
        <v>1278.1600000000001</v>
      </c>
      <c r="I28" s="550">
        <f>[1]Market!$X$32</f>
        <v>2326.08</v>
      </c>
    </row>
    <row r="29" spans="1:11" x14ac:dyDescent="0.25">
      <c r="A29" s="596"/>
      <c r="B29" s="539" t="s">
        <v>233</v>
      </c>
      <c r="C29" s="186" t="s">
        <v>85</v>
      </c>
      <c r="D29" s="106">
        <v>9888.17</v>
      </c>
      <c r="E29" s="106">
        <v>10322.879999999999</v>
      </c>
      <c r="F29" s="106">
        <v>10322.879999999999</v>
      </c>
      <c r="G29" s="601">
        <f t="shared" si="0"/>
        <v>3000</v>
      </c>
      <c r="H29" s="106">
        <v>13322.88</v>
      </c>
      <c r="I29" s="553">
        <f>[1]Market!$Z$32</f>
        <v>18683.345935999998</v>
      </c>
    </row>
    <row r="30" spans="1:11" ht="17.25" customHeight="1" x14ac:dyDescent="0.25">
      <c r="A30" s="143" t="s">
        <v>71</v>
      </c>
      <c r="B30" s="143"/>
      <c r="C30" s="707"/>
      <c r="D30" s="557">
        <f>SUM(D16:D29)</f>
        <v>456585.44</v>
      </c>
      <c r="E30" s="557">
        <f>SUM(E16:E29)</f>
        <v>368520.48000000004</v>
      </c>
      <c r="F30" s="557">
        <f t="shared" ref="F30:G30" si="1">SUM(F16:F29)</f>
        <v>222204.46999999997</v>
      </c>
      <c r="G30" s="557">
        <f t="shared" si="1"/>
        <v>150937.48000000001</v>
      </c>
      <c r="H30" s="557">
        <f>SUM(H16:H29)</f>
        <v>373141.95</v>
      </c>
      <c r="I30" s="557">
        <f>SUM(I16:I29)</f>
        <v>555896.7459359999</v>
      </c>
      <c r="J30" s="593"/>
      <c r="K30" s="593"/>
    </row>
    <row r="31" spans="1:11" x14ac:dyDescent="0.25">
      <c r="A31" s="623" t="s">
        <v>14</v>
      </c>
      <c r="B31" s="623"/>
      <c r="C31" s="130"/>
      <c r="D31" s="130"/>
      <c r="E31" s="130"/>
      <c r="F31" s="130"/>
      <c r="G31" s="130"/>
      <c r="H31" s="130"/>
      <c r="I31" s="130"/>
    </row>
    <row r="32" spans="1:11" x14ac:dyDescent="0.25">
      <c r="A32" s="100"/>
      <c r="B32" s="105" t="s">
        <v>234</v>
      </c>
      <c r="C32" s="89" t="s">
        <v>92</v>
      </c>
      <c r="D32" s="594">
        <v>19410.099999999999</v>
      </c>
      <c r="E32" s="79">
        <v>20000</v>
      </c>
      <c r="F32" s="198">
        <v>3680</v>
      </c>
      <c r="G32" s="594">
        <f>H32-F32</f>
        <v>4800</v>
      </c>
      <c r="H32" s="594">
        <v>8480</v>
      </c>
      <c r="I32" s="79">
        <v>12000</v>
      </c>
    </row>
    <row r="33" spans="1:11" x14ac:dyDescent="0.25">
      <c r="A33" s="100"/>
      <c r="B33" s="105" t="s">
        <v>235</v>
      </c>
      <c r="C33" s="89" t="s">
        <v>93</v>
      </c>
      <c r="D33" s="594"/>
      <c r="E33" s="79"/>
      <c r="F33" s="198"/>
      <c r="G33" s="594"/>
      <c r="H33" s="594"/>
      <c r="I33" s="79"/>
    </row>
    <row r="34" spans="1:11" x14ac:dyDescent="0.25">
      <c r="A34" s="100"/>
      <c r="B34" s="105" t="s">
        <v>236</v>
      </c>
      <c r="C34" s="89" t="s">
        <v>94</v>
      </c>
      <c r="D34" s="594">
        <v>7992.1</v>
      </c>
      <c r="E34" s="79">
        <v>10000</v>
      </c>
      <c r="F34" s="198">
        <v>6468.44</v>
      </c>
      <c r="G34" s="594">
        <f>H34-F34</f>
        <v>2680.0000000000009</v>
      </c>
      <c r="H34" s="594">
        <v>9148.44</v>
      </c>
      <c r="I34" s="79">
        <v>10000</v>
      </c>
    </row>
    <row r="35" spans="1:11" x14ac:dyDescent="0.25">
      <c r="A35" s="100"/>
      <c r="B35" s="172" t="s">
        <v>268</v>
      </c>
      <c r="C35" s="89" t="s">
        <v>98</v>
      </c>
      <c r="D35" s="594"/>
      <c r="E35" s="79"/>
      <c r="F35" s="198"/>
      <c r="G35" s="594"/>
      <c r="H35" s="594"/>
      <c r="I35" s="79"/>
    </row>
    <row r="36" spans="1:11" x14ac:dyDescent="0.25">
      <c r="A36" s="100"/>
      <c r="B36" s="754" t="s">
        <v>217</v>
      </c>
      <c r="C36" s="755" t="s">
        <v>163</v>
      </c>
      <c r="D36" s="198"/>
      <c r="E36" s="198"/>
      <c r="F36" s="198"/>
      <c r="G36" s="594"/>
      <c r="H36" s="594"/>
      <c r="I36" s="79"/>
    </row>
    <row r="37" spans="1:11" x14ac:dyDescent="0.25">
      <c r="A37" s="100"/>
      <c r="B37" s="754" t="s">
        <v>250</v>
      </c>
      <c r="C37" s="755" t="s">
        <v>162</v>
      </c>
      <c r="D37" s="594">
        <v>1613.63</v>
      </c>
      <c r="E37" s="79">
        <v>10000</v>
      </c>
      <c r="F37" s="198">
        <v>280.94</v>
      </c>
      <c r="G37" s="594">
        <f>H37-F37</f>
        <v>9706.89</v>
      </c>
      <c r="H37" s="594">
        <v>9987.83</v>
      </c>
      <c r="I37" s="79">
        <v>10000</v>
      </c>
    </row>
    <row r="38" spans="1:11" x14ac:dyDescent="0.25">
      <c r="A38" s="100"/>
      <c r="B38" s="105" t="s">
        <v>237</v>
      </c>
      <c r="C38" s="89" t="s">
        <v>95</v>
      </c>
      <c r="D38" s="594"/>
      <c r="E38" s="79"/>
      <c r="F38" s="198"/>
      <c r="G38" s="594"/>
      <c r="H38" s="594"/>
      <c r="I38" s="79"/>
    </row>
    <row r="39" spans="1:11" x14ac:dyDescent="0.25">
      <c r="A39" s="100"/>
      <c r="B39" s="105" t="s">
        <v>255</v>
      </c>
      <c r="C39" s="89" t="s">
        <v>96</v>
      </c>
      <c r="D39" s="594">
        <v>249960</v>
      </c>
      <c r="E39" s="79">
        <v>178000</v>
      </c>
      <c r="F39" s="198">
        <v>175520</v>
      </c>
      <c r="G39" s="594">
        <f>H39-F39</f>
        <v>0</v>
      </c>
      <c r="H39" s="594">
        <v>175520</v>
      </c>
      <c r="I39" s="79">
        <v>600000</v>
      </c>
    </row>
    <row r="40" spans="1:11" x14ac:dyDescent="0.25">
      <c r="A40" s="100"/>
      <c r="B40" s="105" t="s">
        <v>240</v>
      </c>
      <c r="C40" s="89" t="s">
        <v>99</v>
      </c>
      <c r="D40" s="594"/>
      <c r="E40" s="79"/>
      <c r="F40" s="198"/>
      <c r="G40" s="594"/>
      <c r="H40" s="594"/>
      <c r="I40" s="79"/>
    </row>
    <row r="41" spans="1:11" x14ac:dyDescent="0.25">
      <c r="A41" s="596"/>
      <c r="B41" s="501" t="s">
        <v>283</v>
      </c>
      <c r="C41" s="96" t="s">
        <v>137</v>
      </c>
      <c r="D41" s="601">
        <v>5000</v>
      </c>
      <c r="E41" s="600">
        <v>5000</v>
      </c>
      <c r="F41" s="202"/>
      <c r="G41" s="601">
        <f>H41-F41</f>
        <v>1080</v>
      </c>
      <c r="H41" s="601">
        <v>1080</v>
      </c>
      <c r="I41" s="600"/>
    </row>
    <row r="42" spans="1:11" ht="13.5" customHeight="1" x14ac:dyDescent="0.25">
      <c r="A42" s="564" t="s">
        <v>68</v>
      </c>
      <c r="B42" s="579"/>
      <c r="C42" s="603"/>
      <c r="D42" s="143">
        <f>SUM(D32:D41)</f>
        <v>283975.83</v>
      </c>
      <c r="E42" s="143">
        <f t="shared" ref="E42:H42" si="2">SUM(E32:E41)</f>
        <v>223000</v>
      </c>
      <c r="F42" s="143">
        <f t="shared" si="2"/>
        <v>185949.38</v>
      </c>
      <c r="G42" s="143">
        <f t="shared" si="2"/>
        <v>18266.89</v>
      </c>
      <c r="H42" s="143">
        <f t="shared" si="2"/>
        <v>204216.27000000002</v>
      </c>
      <c r="I42" s="143">
        <f>SUM(I32:I41)</f>
        <v>632000</v>
      </c>
    </row>
    <row r="43" spans="1:11" ht="14.25" customHeight="1" x14ac:dyDescent="0.25">
      <c r="A43" s="623" t="s">
        <v>13</v>
      </c>
      <c r="B43" s="624"/>
      <c r="C43" s="731"/>
      <c r="D43" s="130"/>
      <c r="E43" s="130"/>
      <c r="F43" s="130"/>
      <c r="G43" s="130"/>
      <c r="H43" s="130"/>
      <c r="I43" s="732"/>
    </row>
    <row r="44" spans="1:11" ht="14.25" customHeight="1" x14ac:dyDescent="0.25">
      <c r="A44" s="100"/>
      <c r="B44" s="105" t="s">
        <v>243</v>
      </c>
      <c r="C44" s="336" t="s">
        <v>110</v>
      </c>
      <c r="D44" s="101"/>
      <c r="E44" s="102"/>
      <c r="F44" s="102"/>
      <c r="G44" s="103"/>
      <c r="H44" s="101"/>
      <c r="I44" s="104">
        <v>102000</v>
      </c>
    </row>
    <row r="45" spans="1:11" ht="14.25" customHeight="1" x14ac:dyDescent="0.25">
      <c r="A45" s="100"/>
      <c r="B45" s="105" t="s">
        <v>244</v>
      </c>
      <c r="C45" s="201" t="s">
        <v>108</v>
      </c>
      <c r="D45" s="101"/>
      <c r="E45" s="102"/>
      <c r="F45" s="102"/>
      <c r="G45" s="103"/>
      <c r="H45" s="101"/>
      <c r="I45" s="104"/>
    </row>
    <row r="46" spans="1:11" ht="14.25" customHeight="1" x14ac:dyDescent="0.25">
      <c r="A46" s="100"/>
      <c r="B46" s="107" t="s">
        <v>305</v>
      </c>
      <c r="C46" s="336" t="s">
        <v>169</v>
      </c>
      <c r="D46" s="101">
        <v>79850</v>
      </c>
      <c r="E46" s="102"/>
      <c r="F46" s="102"/>
      <c r="G46" s="103"/>
      <c r="H46" s="101"/>
      <c r="I46" s="104">
        <v>80000</v>
      </c>
    </row>
    <row r="47" spans="1:11" ht="14.25" customHeight="1" x14ac:dyDescent="0.25">
      <c r="A47" s="596"/>
      <c r="B47" s="756" t="s">
        <v>306</v>
      </c>
      <c r="C47" s="546" t="s">
        <v>107</v>
      </c>
      <c r="D47" s="695">
        <v>59157.8</v>
      </c>
      <c r="E47" s="753"/>
      <c r="F47" s="695"/>
      <c r="G47" s="757"/>
      <c r="H47" s="695"/>
      <c r="I47" s="188"/>
    </row>
    <row r="48" spans="1:11" x14ac:dyDescent="0.25">
      <c r="A48" s="611" t="s">
        <v>72</v>
      </c>
      <c r="B48" s="555"/>
      <c r="C48" s="603"/>
      <c r="D48" s="143">
        <f t="shared" ref="D48:I48" si="3">SUM(D44:D47)</f>
        <v>139007.79999999999</v>
      </c>
      <c r="E48" s="143">
        <f t="shared" si="3"/>
        <v>0</v>
      </c>
      <c r="F48" s="143">
        <f t="shared" si="3"/>
        <v>0</v>
      </c>
      <c r="G48" s="143">
        <f t="shared" si="3"/>
        <v>0</v>
      </c>
      <c r="H48" s="143">
        <f t="shared" si="3"/>
        <v>0</v>
      </c>
      <c r="I48" s="143">
        <f t="shared" si="3"/>
        <v>182000</v>
      </c>
      <c r="K48" s="593"/>
    </row>
    <row r="49" spans="1:10" x14ac:dyDescent="0.25">
      <c r="A49" s="696" t="s">
        <v>20</v>
      </c>
      <c r="B49" s="606"/>
      <c r="C49" s="750"/>
      <c r="D49" s="143">
        <f t="shared" ref="D49:I49" si="4">D30+D48+D42</f>
        <v>879569.07000000007</v>
      </c>
      <c r="E49" s="143">
        <f t="shared" si="4"/>
        <v>591520.48</v>
      </c>
      <c r="F49" s="143">
        <f t="shared" si="4"/>
        <v>408153.85</v>
      </c>
      <c r="G49" s="143">
        <f t="shared" si="4"/>
        <v>169204.37</v>
      </c>
      <c r="H49" s="143">
        <f t="shared" si="4"/>
        <v>577358.22</v>
      </c>
      <c r="I49" s="492">
        <f t="shared" si="4"/>
        <v>1369896.7459359998</v>
      </c>
      <c r="J49" s="593"/>
    </row>
    <row r="50" spans="1:10" x14ac:dyDescent="0.25">
      <c r="B50" s="150"/>
      <c r="C50" s="151"/>
      <c r="D50" s="152"/>
      <c r="E50" s="152"/>
      <c r="F50" s="152"/>
      <c r="G50" s="149"/>
      <c r="H50" s="149"/>
      <c r="I50" s="149"/>
    </row>
    <row r="51" spans="1:10" x14ac:dyDescent="0.25">
      <c r="B51" s="153" t="s">
        <v>22</v>
      </c>
      <c r="C51" s="36" t="s">
        <v>23</v>
      </c>
      <c r="D51" s="36"/>
      <c r="E51" s="36"/>
      <c r="F51" s="113"/>
      <c r="G51" s="36" t="s">
        <v>24</v>
      </c>
      <c r="H51" s="36"/>
      <c r="I51" s="36"/>
    </row>
    <row r="52" spans="1:10" x14ac:dyDescent="0.25">
      <c r="B52" s="36"/>
      <c r="C52" s="36"/>
      <c r="D52" s="36"/>
      <c r="E52" s="36"/>
      <c r="F52" s="113"/>
      <c r="G52" s="36"/>
      <c r="H52" s="36"/>
      <c r="I52" s="36"/>
    </row>
    <row r="53" spans="1:10" x14ac:dyDescent="0.25">
      <c r="B53" s="216" t="s">
        <v>52</v>
      </c>
      <c r="C53" s="1128" t="s">
        <v>51</v>
      </c>
      <c r="D53" s="1128"/>
      <c r="E53" s="1128"/>
      <c r="F53" s="1128"/>
      <c r="G53" s="1085" t="s">
        <v>117</v>
      </c>
      <c r="H53" s="1085"/>
      <c r="I53" s="1085"/>
    </row>
    <row r="54" spans="1:10" x14ac:dyDescent="0.25">
      <c r="B54" s="206" t="s">
        <v>63</v>
      </c>
      <c r="C54" s="1070" t="s">
        <v>64</v>
      </c>
      <c r="D54" s="1070"/>
      <c r="E54" s="1070"/>
      <c r="F54" s="1070"/>
      <c r="G54" s="1070" t="s">
        <v>67</v>
      </c>
      <c r="H54" s="1070"/>
      <c r="I54" s="1070"/>
    </row>
  </sheetData>
  <sheetProtection algorithmName="SHA-512" hashValue="8dfCAj/4GpUFte3PtFCds3RBm3sv1VIMIaOdV6jrWlO8FEoMTcMeVk//2MFh7HzHX8By08voDTplNWMa9hA9dA==" saltValue="npmJUKhvEfu43yFx3slDuQ==" spinCount="100000" sheet="1" objects="1" scenarios="1" selectLockedCells="1" selectUnlockedCells="1"/>
  <mergeCells count="13">
    <mergeCell ref="A14:B14"/>
    <mergeCell ref="A3:I3"/>
    <mergeCell ref="A4:I4"/>
    <mergeCell ref="A10:B11"/>
    <mergeCell ref="A12:B12"/>
    <mergeCell ref="A13:B13"/>
    <mergeCell ref="C53:F53"/>
    <mergeCell ref="G53:I53"/>
    <mergeCell ref="C54:F54"/>
    <mergeCell ref="G54:I54"/>
    <mergeCell ref="C10:C11"/>
    <mergeCell ref="F10:H10"/>
    <mergeCell ref="E10:E14"/>
  </mergeCells>
  <printOptions horizontalCentered="1"/>
  <pageMargins left="0.43" right="0" top="0.75" bottom="0" header="0" footer="0"/>
  <pageSetup scale="68" orientation="portrait" r:id="rId1"/>
  <headerFooter>
    <oddHeader>&amp;R&amp;D   &amp;T</oddHeader>
  </headerFooter>
  <colBreaks count="1" manualBreakCount="1">
    <brk id="9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54"/>
  <sheetViews>
    <sheetView topLeftCell="A34" zoomScale="110" zoomScaleNormal="110" workbookViewId="0">
      <selection activeCell="B52" sqref="B52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20.140625" style="41" customWidth="1"/>
    <col min="11" max="11" width="12.28515625" style="41" bestFit="1" customWidth="1"/>
    <col min="12" max="16384" width="9.140625" style="41"/>
  </cols>
  <sheetData>
    <row r="1" spans="1:9" x14ac:dyDescent="0.25">
      <c r="A1" s="41" t="s">
        <v>9</v>
      </c>
      <c r="I1" s="41" t="s">
        <v>27</v>
      </c>
    </row>
    <row r="2" spans="1:9" ht="6.75" customHeight="1" x14ac:dyDescent="0.25"/>
    <row r="3" spans="1:9" s="118" customFormat="1" ht="15" customHeight="1" x14ac:dyDescent="0.25">
      <c r="A3" s="1067" t="s">
        <v>10</v>
      </c>
      <c r="B3" s="1067"/>
      <c r="C3" s="1067"/>
      <c r="D3" s="1067"/>
      <c r="E3" s="1067"/>
      <c r="F3" s="1067"/>
      <c r="G3" s="1067"/>
      <c r="H3" s="1067"/>
      <c r="I3" s="1067"/>
    </row>
    <row r="4" spans="1:9" s="118" customFormat="1" ht="15" customHeight="1" x14ac:dyDescent="0.25">
      <c r="A4" s="1067" t="s">
        <v>47</v>
      </c>
      <c r="B4" s="1067"/>
      <c r="C4" s="1067"/>
      <c r="D4" s="1067"/>
      <c r="E4" s="1067"/>
      <c r="F4" s="1067"/>
      <c r="G4" s="1067"/>
      <c r="H4" s="1067"/>
      <c r="I4" s="1067"/>
    </row>
    <row r="5" spans="1:9" s="118" customFormat="1" ht="3" customHeight="1" x14ac:dyDescent="0.25">
      <c r="B5" s="586"/>
    </row>
    <row r="6" spans="1:9" s="118" customFormat="1" ht="15" customHeight="1" x14ac:dyDescent="0.25">
      <c r="A6" s="586" t="s">
        <v>166</v>
      </c>
      <c r="B6" s="586"/>
    </row>
    <row r="7" spans="1:9" s="118" customFormat="1" ht="15" customHeight="1" x14ac:dyDescent="0.25">
      <c r="A7" s="118" t="s">
        <v>167</v>
      </c>
    </row>
    <row r="8" spans="1:9" s="118" customFormat="1" ht="15" customHeight="1" x14ac:dyDescent="0.25">
      <c r="A8" s="118" t="s">
        <v>168</v>
      </c>
    </row>
    <row r="9" spans="1:9" ht="3.75" customHeight="1" x14ac:dyDescent="0.25"/>
    <row r="10" spans="1:9" x14ac:dyDescent="0.25">
      <c r="A10" s="1124" t="s">
        <v>0</v>
      </c>
      <c r="B10" s="1125"/>
      <c r="C10" s="1120" t="s">
        <v>1</v>
      </c>
      <c r="D10" s="212" t="s">
        <v>2</v>
      </c>
      <c r="E10" s="1082" t="s">
        <v>105</v>
      </c>
      <c r="F10" s="1124" t="s">
        <v>8</v>
      </c>
      <c r="G10" s="1129"/>
      <c r="H10" s="1125"/>
      <c r="I10" s="212" t="s">
        <v>3</v>
      </c>
    </row>
    <row r="11" spans="1:9" ht="54" customHeight="1" x14ac:dyDescent="0.25">
      <c r="A11" s="1126"/>
      <c r="B11" s="1127"/>
      <c r="C11" s="1121"/>
      <c r="D11" s="213" t="s">
        <v>4</v>
      </c>
      <c r="E11" s="1083"/>
      <c r="F11" s="618" t="s">
        <v>46</v>
      </c>
      <c r="G11" s="618" t="s">
        <v>45</v>
      </c>
      <c r="H11" s="212" t="s">
        <v>5</v>
      </c>
      <c r="I11" s="213" t="s">
        <v>6</v>
      </c>
    </row>
    <row r="12" spans="1:9" x14ac:dyDescent="0.25">
      <c r="A12" s="1133"/>
      <c r="B12" s="1134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9" x14ac:dyDescent="0.25">
      <c r="A13" s="1133"/>
      <c r="B13" s="1134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1131">
        <v>1</v>
      </c>
      <c r="B14" s="1132"/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620" t="s">
        <v>11</v>
      </c>
      <c r="B15" s="620"/>
      <c r="C15" s="213"/>
      <c r="D15" s="213"/>
      <c r="E15" s="213"/>
      <c r="F15" s="213"/>
      <c r="G15" s="213"/>
      <c r="H15" s="213"/>
      <c r="I15" s="213"/>
    </row>
    <row r="16" spans="1:9" x14ac:dyDescent="0.25">
      <c r="A16" s="100"/>
      <c r="B16" s="105" t="s">
        <v>219</v>
      </c>
      <c r="C16" s="89" t="s">
        <v>73</v>
      </c>
      <c r="D16" s="98">
        <v>293690</v>
      </c>
      <c r="E16" s="98">
        <v>366672</v>
      </c>
      <c r="F16" s="98">
        <v>178666</v>
      </c>
      <c r="G16" s="594">
        <f>H16-F16</f>
        <v>185196.94</v>
      </c>
      <c r="H16" s="98">
        <v>363862.94</v>
      </c>
      <c r="I16" s="550">
        <f>[1]piwas!$L$32</f>
        <v>379548</v>
      </c>
    </row>
    <row r="17" spans="1:11" x14ac:dyDescent="0.25">
      <c r="A17" s="100"/>
      <c r="B17" s="105" t="s">
        <v>220</v>
      </c>
      <c r="C17" s="89" t="s">
        <v>86</v>
      </c>
      <c r="D17" s="98">
        <v>145280</v>
      </c>
      <c r="E17" s="98">
        <v>244596</v>
      </c>
      <c r="F17" s="98">
        <v>15072</v>
      </c>
      <c r="G17" s="594">
        <f t="shared" ref="G17:G29" si="0">H17-F17</f>
        <v>226570</v>
      </c>
      <c r="H17" s="98">
        <v>241642</v>
      </c>
      <c r="I17" s="98">
        <f>[1]piwas!$M$32</f>
        <v>244596</v>
      </c>
    </row>
    <row r="18" spans="1:11" x14ac:dyDescent="0.25">
      <c r="A18" s="100"/>
      <c r="B18" s="538" t="s">
        <v>221</v>
      </c>
      <c r="C18" s="184" t="s">
        <v>74</v>
      </c>
      <c r="D18" s="98">
        <v>66000</v>
      </c>
      <c r="E18" s="98">
        <v>72000</v>
      </c>
      <c r="F18" s="98">
        <v>36000</v>
      </c>
      <c r="G18" s="594">
        <f t="shared" si="0"/>
        <v>36000</v>
      </c>
      <c r="H18" s="98">
        <v>72000</v>
      </c>
      <c r="I18" s="550">
        <f>[1]piwas!$N$32</f>
        <v>72000</v>
      </c>
    </row>
    <row r="19" spans="1:11" x14ac:dyDescent="0.25">
      <c r="A19" s="100"/>
      <c r="B19" s="538" t="s">
        <v>224</v>
      </c>
      <c r="C19" s="184" t="s">
        <v>75</v>
      </c>
      <c r="D19" s="98"/>
      <c r="E19" s="98"/>
      <c r="F19" s="98"/>
      <c r="G19" s="594">
        <f t="shared" si="0"/>
        <v>0</v>
      </c>
      <c r="H19" s="98"/>
      <c r="I19" s="758"/>
    </row>
    <row r="20" spans="1:11" x14ac:dyDescent="0.25">
      <c r="A20" s="100"/>
      <c r="B20" s="538" t="s">
        <v>223</v>
      </c>
      <c r="C20" s="184" t="s">
        <v>76</v>
      </c>
      <c r="D20" s="98"/>
      <c r="E20" s="98"/>
      <c r="F20" s="98"/>
      <c r="G20" s="594">
        <f t="shared" si="0"/>
        <v>0</v>
      </c>
      <c r="H20" s="98"/>
      <c r="I20" s="758"/>
    </row>
    <row r="21" spans="1:11" x14ac:dyDescent="0.25">
      <c r="A21" s="100"/>
      <c r="B21" s="538" t="s">
        <v>222</v>
      </c>
      <c r="C21" s="184" t="s">
        <v>77</v>
      </c>
      <c r="D21" s="98">
        <v>15000</v>
      </c>
      <c r="E21" s="98">
        <v>15000</v>
      </c>
      <c r="F21" s="98"/>
      <c r="G21" s="594">
        <f t="shared" si="0"/>
        <v>18000</v>
      </c>
      <c r="H21" s="98">
        <v>18000</v>
      </c>
      <c r="I21" s="550">
        <f>[1]piwas!$Q$32</f>
        <v>18000</v>
      </c>
    </row>
    <row r="22" spans="1:11" x14ac:dyDescent="0.25">
      <c r="A22" s="100"/>
      <c r="B22" s="538" t="s">
        <v>225</v>
      </c>
      <c r="C22" s="184" t="s">
        <v>78</v>
      </c>
      <c r="D22" s="98">
        <v>15000</v>
      </c>
      <c r="E22" s="98">
        <v>15000</v>
      </c>
      <c r="F22" s="98"/>
      <c r="G22" s="594">
        <f t="shared" si="0"/>
        <v>15000</v>
      </c>
      <c r="H22" s="98">
        <v>15000</v>
      </c>
      <c r="I22" s="550">
        <f>[1]piwas!$R$32</f>
        <v>15000</v>
      </c>
    </row>
    <row r="23" spans="1:11" x14ac:dyDescent="0.25">
      <c r="A23" s="100"/>
      <c r="B23" s="538" t="s">
        <v>226</v>
      </c>
      <c r="C23" s="184" t="s">
        <v>80</v>
      </c>
      <c r="D23" s="98">
        <f>29369*2</f>
        <v>58738</v>
      </c>
      <c r="E23" s="98">
        <f>30556*2</f>
        <v>61112</v>
      </c>
      <c r="F23" s="98">
        <v>30482</v>
      </c>
      <c r="G23" s="594">
        <f t="shared" si="0"/>
        <v>30482</v>
      </c>
      <c r="H23" s="98">
        <f>30482+30482</f>
        <v>60964</v>
      </c>
      <c r="I23" s="550">
        <f>[1]piwas!$S$32</f>
        <v>63258</v>
      </c>
    </row>
    <row r="24" spans="1:11" x14ac:dyDescent="0.25">
      <c r="A24" s="100"/>
      <c r="B24" s="538" t="s">
        <v>227</v>
      </c>
      <c r="C24" s="184" t="s">
        <v>79</v>
      </c>
      <c r="D24" s="98">
        <v>15000</v>
      </c>
      <c r="E24" s="98">
        <v>15000</v>
      </c>
      <c r="F24" s="98"/>
      <c r="G24" s="594">
        <f t="shared" si="0"/>
        <v>15000</v>
      </c>
      <c r="H24" s="98">
        <v>15000</v>
      </c>
      <c r="I24" s="550">
        <f>[1]piwas!$T$32</f>
        <v>15000</v>
      </c>
    </row>
    <row r="25" spans="1:11" x14ac:dyDescent="0.25">
      <c r="A25" s="100"/>
      <c r="B25" s="538" t="s">
        <v>228</v>
      </c>
      <c r="C25" s="184" t="s">
        <v>81</v>
      </c>
      <c r="D25" s="98">
        <v>28194.240000000002</v>
      </c>
      <c r="E25" s="98">
        <v>44000.639999999999</v>
      </c>
      <c r="F25" s="98">
        <v>21680.02</v>
      </c>
      <c r="G25" s="594">
        <f t="shared" si="0"/>
        <v>22223.63</v>
      </c>
      <c r="H25" s="98">
        <v>43903.65</v>
      </c>
      <c r="I25" s="550">
        <f>[1]piwas!$U$32</f>
        <v>45545.759999999995</v>
      </c>
    </row>
    <row r="26" spans="1:11" x14ac:dyDescent="0.25">
      <c r="A26" s="100"/>
      <c r="B26" s="538" t="s">
        <v>229</v>
      </c>
      <c r="C26" s="184" t="s">
        <v>82</v>
      </c>
      <c r="D26" s="98">
        <v>2400</v>
      </c>
      <c r="E26" s="98">
        <v>3600</v>
      </c>
      <c r="F26" s="98">
        <v>1800</v>
      </c>
      <c r="G26" s="594">
        <f t="shared" si="0"/>
        <v>1800</v>
      </c>
      <c r="H26" s="98">
        <v>3600</v>
      </c>
      <c r="I26" s="550">
        <f>[1]piwas!$V$32</f>
        <v>3600</v>
      </c>
    </row>
    <row r="27" spans="1:11" x14ac:dyDescent="0.25">
      <c r="A27" s="100"/>
      <c r="B27" s="538" t="s">
        <v>230</v>
      </c>
      <c r="C27" s="184" t="s">
        <v>83</v>
      </c>
      <c r="D27" s="98">
        <v>4200</v>
      </c>
      <c r="E27" s="98">
        <v>4200</v>
      </c>
      <c r="F27" s="98">
        <v>2668.45</v>
      </c>
      <c r="G27" s="594">
        <f t="shared" si="0"/>
        <v>2441.33</v>
      </c>
      <c r="H27" s="98">
        <v>5109.78</v>
      </c>
      <c r="I27" s="550">
        <f>[1]piwas!$W$32</f>
        <v>5218.7849999999999</v>
      </c>
    </row>
    <row r="28" spans="1:11" x14ac:dyDescent="0.25">
      <c r="A28" s="100"/>
      <c r="B28" s="538" t="s">
        <v>231</v>
      </c>
      <c r="C28" s="184" t="s">
        <v>84</v>
      </c>
      <c r="D28" s="98">
        <v>2176.85</v>
      </c>
      <c r="E28" s="98">
        <v>3666.72</v>
      </c>
      <c r="F28" s="98">
        <v>1665.92</v>
      </c>
      <c r="G28" s="594">
        <f t="shared" si="0"/>
        <v>1945.9299999999998</v>
      </c>
      <c r="H28" s="98">
        <v>3611.85</v>
      </c>
      <c r="I28" s="550">
        <f>[1]piwas!$X$32</f>
        <v>3795.4800000000005</v>
      </c>
    </row>
    <row r="29" spans="1:11" x14ac:dyDescent="0.25">
      <c r="A29" s="596"/>
      <c r="B29" s="539" t="s">
        <v>233</v>
      </c>
      <c r="C29" s="186" t="s">
        <v>85</v>
      </c>
      <c r="D29" s="106">
        <v>28307.43</v>
      </c>
      <c r="E29" s="106">
        <v>29451.52</v>
      </c>
      <c r="F29" s="106">
        <v>29380</v>
      </c>
      <c r="G29" s="601">
        <f t="shared" si="0"/>
        <v>9000.1999999999971</v>
      </c>
      <c r="H29" s="106">
        <v>38380.199999999997</v>
      </c>
      <c r="I29" s="553">
        <f>[1]piwas!$Z$32</f>
        <v>30485.738165999996</v>
      </c>
    </row>
    <row r="30" spans="1:11" ht="17.25" customHeight="1" x14ac:dyDescent="0.25">
      <c r="A30" s="611" t="s">
        <v>71</v>
      </c>
      <c r="B30" s="555"/>
      <c r="C30" s="707"/>
      <c r="D30" s="557">
        <f>SUM(D16:D29)</f>
        <v>673986.52</v>
      </c>
      <c r="E30" s="557">
        <f t="shared" ref="E30:H30" si="1">SUM(E16:E29)</f>
        <v>874298.88</v>
      </c>
      <c r="F30" s="557">
        <f t="shared" si="1"/>
        <v>317414.39</v>
      </c>
      <c r="G30" s="557">
        <f t="shared" si="1"/>
        <v>563660.02999999991</v>
      </c>
      <c r="H30" s="557">
        <f t="shared" si="1"/>
        <v>881074.41999999993</v>
      </c>
      <c r="I30" s="557">
        <f>SUM(I16:I29)</f>
        <v>896047.76316600002</v>
      </c>
      <c r="J30" s="593"/>
      <c r="K30" s="593"/>
    </row>
    <row r="31" spans="1:11" x14ac:dyDescent="0.25">
      <c r="A31" s="623" t="s">
        <v>14</v>
      </c>
      <c r="B31" s="624"/>
      <c r="C31" s="130"/>
      <c r="D31" s="130"/>
      <c r="E31" s="130"/>
      <c r="F31" s="130"/>
      <c r="G31" s="130"/>
      <c r="H31" s="130"/>
      <c r="I31" s="130"/>
    </row>
    <row r="32" spans="1:11" x14ac:dyDescent="0.25">
      <c r="A32" s="100"/>
      <c r="B32" s="105" t="s">
        <v>234</v>
      </c>
      <c r="C32" s="89" t="s">
        <v>92</v>
      </c>
      <c r="D32" s="594">
        <v>50820</v>
      </c>
      <c r="E32" s="594">
        <v>78000</v>
      </c>
      <c r="F32" s="79">
        <v>11240</v>
      </c>
      <c r="G32" s="594">
        <f>H32-F32</f>
        <v>22280</v>
      </c>
      <c r="H32" s="594">
        <v>33520</v>
      </c>
      <c r="I32" s="594">
        <f>40000+28000</f>
        <v>68000</v>
      </c>
    </row>
    <row r="33" spans="1:11" x14ac:dyDescent="0.25">
      <c r="A33" s="100"/>
      <c r="B33" s="105" t="s">
        <v>235</v>
      </c>
      <c r="C33" s="89" t="s">
        <v>93</v>
      </c>
      <c r="D33" s="594"/>
      <c r="E33" s="594"/>
      <c r="F33" s="79"/>
      <c r="G33" s="594"/>
      <c r="H33" s="594"/>
      <c r="I33" s="79"/>
    </row>
    <row r="34" spans="1:11" x14ac:dyDescent="0.25">
      <c r="A34" s="100"/>
      <c r="B34" s="105" t="s">
        <v>236</v>
      </c>
      <c r="C34" s="89" t="s">
        <v>94</v>
      </c>
      <c r="D34" s="594">
        <v>26889.11</v>
      </c>
      <c r="E34" s="594">
        <v>60000</v>
      </c>
      <c r="F34" s="79">
        <v>4982.07</v>
      </c>
      <c r="G34" s="594">
        <f>H34-F34</f>
        <v>25811.4</v>
      </c>
      <c r="H34" s="594">
        <v>30793.47</v>
      </c>
      <c r="I34" s="79">
        <v>35000</v>
      </c>
    </row>
    <row r="35" spans="1:11" x14ac:dyDescent="0.25">
      <c r="A35" s="100"/>
      <c r="B35" s="172" t="s">
        <v>268</v>
      </c>
      <c r="C35" s="89" t="s">
        <v>98</v>
      </c>
      <c r="D35" s="594"/>
      <c r="E35" s="594"/>
      <c r="F35" s="79"/>
      <c r="G35" s="594"/>
      <c r="H35" s="594"/>
      <c r="I35" s="79"/>
    </row>
    <row r="36" spans="1:11" x14ac:dyDescent="0.25">
      <c r="A36" s="100"/>
      <c r="B36" s="105" t="s">
        <v>250</v>
      </c>
      <c r="C36" s="755" t="s">
        <v>162</v>
      </c>
      <c r="D36" s="198"/>
      <c r="E36" s="198">
        <v>2400</v>
      </c>
      <c r="F36" s="79"/>
      <c r="G36" s="594"/>
      <c r="H36" s="198"/>
      <c r="I36" s="79">
        <v>2400</v>
      </c>
    </row>
    <row r="37" spans="1:11" x14ac:dyDescent="0.25">
      <c r="A37" s="100"/>
      <c r="B37" s="105" t="s">
        <v>237</v>
      </c>
      <c r="C37" s="89" t="s">
        <v>95</v>
      </c>
      <c r="D37" s="594"/>
      <c r="E37" s="594"/>
      <c r="F37" s="79"/>
      <c r="G37" s="594"/>
      <c r="H37" s="594"/>
      <c r="I37" s="79"/>
    </row>
    <row r="38" spans="1:11" x14ac:dyDescent="0.25">
      <c r="A38" s="100"/>
      <c r="B38" s="107" t="s">
        <v>241</v>
      </c>
      <c r="C38" s="89" t="s">
        <v>128</v>
      </c>
      <c r="D38" s="198"/>
      <c r="E38" s="198">
        <v>60000</v>
      </c>
      <c r="F38" s="79"/>
      <c r="G38" s="594"/>
      <c r="H38" s="198"/>
      <c r="I38" s="79">
        <v>10000</v>
      </c>
    </row>
    <row r="39" spans="1:11" x14ac:dyDescent="0.25">
      <c r="A39" s="100"/>
      <c r="B39" s="105" t="s">
        <v>255</v>
      </c>
      <c r="C39" s="89" t="s">
        <v>96</v>
      </c>
      <c r="D39" s="594">
        <v>408930</v>
      </c>
      <c r="E39" s="594">
        <v>350000</v>
      </c>
      <c r="F39" s="79">
        <v>232280</v>
      </c>
      <c r="G39" s="594">
        <f>H39-F39</f>
        <v>136110</v>
      </c>
      <c r="H39" s="594">
        <v>368390</v>
      </c>
      <c r="I39" s="79">
        <f>350000+50000</f>
        <v>400000</v>
      </c>
    </row>
    <row r="40" spans="1:11" x14ac:dyDescent="0.25">
      <c r="A40" s="100"/>
      <c r="B40" s="105" t="s">
        <v>240</v>
      </c>
      <c r="C40" s="89" t="s">
        <v>99</v>
      </c>
      <c r="D40" s="594">
        <v>1020</v>
      </c>
      <c r="E40" s="594">
        <v>25000</v>
      </c>
      <c r="F40" s="79">
        <v>3610</v>
      </c>
      <c r="G40" s="594">
        <f>H40-F40</f>
        <v>1977.46</v>
      </c>
      <c r="H40" s="594">
        <v>5587.46</v>
      </c>
      <c r="I40" s="79">
        <v>10000</v>
      </c>
    </row>
    <row r="41" spans="1:11" x14ac:dyDescent="0.25">
      <c r="A41" s="596"/>
      <c r="B41" s="501" t="s">
        <v>283</v>
      </c>
      <c r="C41" s="96" t="s">
        <v>137</v>
      </c>
      <c r="D41" s="601">
        <v>1400</v>
      </c>
      <c r="E41" s="601">
        <v>5000</v>
      </c>
      <c r="F41" s="600">
        <v>3565</v>
      </c>
      <c r="G41" s="601">
        <f>H41-F41</f>
        <v>0</v>
      </c>
      <c r="H41" s="601">
        <v>3565</v>
      </c>
      <c r="I41" s="600">
        <f>5000+50000</f>
        <v>55000</v>
      </c>
    </row>
    <row r="42" spans="1:11" ht="13.5" customHeight="1" x14ac:dyDescent="0.25">
      <c r="A42" s="564" t="s">
        <v>68</v>
      </c>
      <c r="B42" s="579"/>
      <c r="C42" s="603"/>
      <c r="D42" s="143">
        <f>SUM(D32:D41)</f>
        <v>489059.11</v>
      </c>
      <c r="E42" s="143">
        <f t="shared" ref="E42:H42" si="2">SUM(E32:E41)</f>
        <v>580400</v>
      </c>
      <c r="F42" s="143">
        <f t="shared" si="2"/>
        <v>255677.07</v>
      </c>
      <c r="G42" s="143">
        <f t="shared" si="2"/>
        <v>186178.86</v>
      </c>
      <c r="H42" s="143">
        <f t="shared" si="2"/>
        <v>441855.93</v>
      </c>
      <c r="I42" s="143">
        <f>SUM(I32:I41)</f>
        <v>580400</v>
      </c>
      <c r="J42" s="593"/>
      <c r="K42" s="157"/>
    </row>
    <row r="43" spans="1:11" ht="14.25" customHeight="1" x14ac:dyDescent="0.25">
      <c r="A43" s="623" t="s">
        <v>13</v>
      </c>
      <c r="B43" s="624"/>
      <c r="C43" s="731"/>
      <c r="D43" s="130"/>
      <c r="E43" s="130"/>
      <c r="F43" s="130"/>
      <c r="G43" s="701"/>
      <c r="H43" s="130"/>
      <c r="I43" s="732"/>
      <c r="J43" s="593"/>
    </row>
    <row r="44" spans="1:11" ht="14.25" customHeight="1" x14ac:dyDescent="0.25">
      <c r="A44" s="100"/>
      <c r="B44" s="107" t="s">
        <v>290</v>
      </c>
      <c r="C44" s="759" t="s">
        <v>133</v>
      </c>
      <c r="D44" s="101">
        <v>25000</v>
      </c>
      <c r="E44" s="101"/>
      <c r="F44" s="101"/>
      <c r="G44" s="594">
        <f t="shared" ref="G44:G47" si="3">H44-F44</f>
        <v>0</v>
      </c>
      <c r="H44" s="101"/>
      <c r="I44" s="104"/>
      <c r="J44" s="760"/>
      <c r="K44" s="157"/>
    </row>
    <row r="45" spans="1:11" ht="14.25" customHeight="1" x14ac:dyDescent="0.25">
      <c r="A45" s="100"/>
      <c r="B45" s="105" t="s">
        <v>243</v>
      </c>
      <c r="C45" s="336" t="s">
        <v>110</v>
      </c>
      <c r="D45" s="336"/>
      <c r="E45" s="102"/>
      <c r="F45" s="102"/>
      <c r="G45" s="594"/>
      <c r="H45" s="102"/>
      <c r="I45" s="104"/>
      <c r="K45" s="593"/>
    </row>
    <row r="46" spans="1:11" ht="14.25" customHeight="1" x14ac:dyDescent="0.25">
      <c r="A46" s="100"/>
      <c r="B46" s="107" t="s">
        <v>276</v>
      </c>
      <c r="C46" s="336"/>
      <c r="D46" s="336"/>
      <c r="E46" s="102"/>
      <c r="F46" s="102"/>
      <c r="G46" s="594"/>
      <c r="H46" s="102"/>
      <c r="I46" s="104">
        <v>228000</v>
      </c>
    </row>
    <row r="47" spans="1:11" ht="16.5" customHeight="1" x14ac:dyDescent="0.25">
      <c r="A47" s="596"/>
      <c r="B47" s="761" t="s">
        <v>245</v>
      </c>
      <c r="C47" s="546" t="s">
        <v>107</v>
      </c>
      <c r="D47" s="546"/>
      <c r="E47" s="601">
        <v>182000</v>
      </c>
      <c r="F47" s="202">
        <v>23908</v>
      </c>
      <c r="G47" s="601">
        <f t="shared" si="3"/>
        <v>119285</v>
      </c>
      <c r="H47" s="202">
        <v>143193</v>
      </c>
      <c r="I47" s="188"/>
      <c r="J47" s="762"/>
      <c r="K47" s="157"/>
    </row>
    <row r="48" spans="1:11" x14ac:dyDescent="0.25">
      <c r="A48" s="611" t="s">
        <v>72</v>
      </c>
      <c r="B48" s="555"/>
      <c r="C48" s="603"/>
      <c r="D48" s="143">
        <f t="shared" ref="D48:H48" si="4">SUM(D44:D47)</f>
        <v>25000</v>
      </c>
      <c r="E48" s="143">
        <f t="shared" si="4"/>
        <v>182000</v>
      </c>
      <c r="F48" s="143">
        <f t="shared" si="4"/>
        <v>23908</v>
      </c>
      <c r="G48" s="143">
        <f t="shared" si="4"/>
        <v>119285</v>
      </c>
      <c r="H48" s="143">
        <f t="shared" si="4"/>
        <v>143193</v>
      </c>
      <c r="I48" s="143">
        <f>SUM(I44:I47)</f>
        <v>228000</v>
      </c>
      <c r="K48" s="157"/>
    </row>
    <row r="49" spans="1:10" x14ac:dyDescent="0.25">
      <c r="A49" s="696" t="s">
        <v>20</v>
      </c>
      <c r="B49" s="606"/>
      <c r="C49" s="750"/>
      <c r="D49" s="143">
        <f t="shared" ref="D49:I49" si="5">D30+D48+D42</f>
        <v>1188045.6299999999</v>
      </c>
      <c r="E49" s="143">
        <f t="shared" si="5"/>
        <v>1636698.88</v>
      </c>
      <c r="F49" s="143">
        <f t="shared" si="5"/>
        <v>596999.46</v>
      </c>
      <c r="G49" s="143">
        <f t="shared" si="5"/>
        <v>869123.8899999999</v>
      </c>
      <c r="H49" s="143">
        <f t="shared" si="5"/>
        <v>1466123.3499999999</v>
      </c>
      <c r="I49" s="143">
        <f t="shared" si="5"/>
        <v>1704447.7631660001</v>
      </c>
      <c r="J49" s="593"/>
    </row>
    <row r="50" spans="1:10" x14ac:dyDescent="0.25">
      <c r="B50" s="150"/>
      <c r="C50" s="151"/>
      <c r="D50" s="152"/>
      <c r="E50" s="152"/>
      <c r="F50" s="152"/>
      <c r="G50" s="149"/>
      <c r="H50" s="149"/>
      <c r="I50" s="149"/>
    </row>
    <row r="51" spans="1:10" x14ac:dyDescent="0.25">
      <c r="B51" s="153" t="s">
        <v>22</v>
      </c>
      <c r="C51" s="36" t="s">
        <v>23</v>
      </c>
      <c r="D51" s="36"/>
      <c r="E51" s="36"/>
      <c r="F51" s="113"/>
      <c r="G51" s="36" t="s">
        <v>24</v>
      </c>
      <c r="H51" s="36"/>
      <c r="I51" s="36"/>
    </row>
    <row r="52" spans="1:10" x14ac:dyDescent="0.25">
      <c r="B52" s="36"/>
      <c r="C52" s="36"/>
      <c r="D52" s="36"/>
      <c r="E52" s="36"/>
      <c r="F52" s="113"/>
      <c r="G52" s="36"/>
      <c r="H52" s="36"/>
      <c r="I52" s="36"/>
    </row>
    <row r="53" spans="1:10" x14ac:dyDescent="0.25">
      <c r="B53" s="216" t="s">
        <v>117</v>
      </c>
      <c r="C53" s="1128" t="s">
        <v>51</v>
      </c>
      <c r="D53" s="1128"/>
      <c r="E53" s="1128"/>
      <c r="F53" s="1128"/>
      <c r="G53" s="1085" t="s">
        <v>117</v>
      </c>
      <c r="H53" s="1085"/>
      <c r="I53" s="1085"/>
    </row>
    <row r="54" spans="1:10" x14ac:dyDescent="0.25">
      <c r="B54" s="206" t="s">
        <v>63</v>
      </c>
      <c r="C54" s="1070" t="s">
        <v>64</v>
      </c>
      <c r="D54" s="1070"/>
      <c r="E54" s="1070"/>
      <c r="F54" s="1070"/>
      <c r="G54" s="1070" t="s">
        <v>67</v>
      </c>
      <c r="H54" s="1070"/>
      <c r="I54" s="1070"/>
    </row>
  </sheetData>
  <sheetProtection algorithmName="SHA-512" hashValue="wzqxfdRmolHW2pu4n1KRcGw4iGRA5M24+HXyOLE1JLPf9s5EJ884AJo2OJM8O8V7FnAoviyGakTFjyAcJ8Hhrw==" saltValue="yTgYO5Q6qr7jSk7lljNP1A==" spinCount="100000" sheet="1" objects="1" scenarios="1" selectLockedCells="1" selectUnlockedCells="1"/>
  <mergeCells count="13">
    <mergeCell ref="A14:B14"/>
    <mergeCell ref="A3:I3"/>
    <mergeCell ref="A4:I4"/>
    <mergeCell ref="A10:B11"/>
    <mergeCell ref="A12:B12"/>
    <mergeCell ref="A13:B13"/>
    <mergeCell ref="C53:F53"/>
    <mergeCell ref="G53:I53"/>
    <mergeCell ref="C54:F54"/>
    <mergeCell ref="G54:I54"/>
    <mergeCell ref="C10:C11"/>
    <mergeCell ref="F10:H10"/>
    <mergeCell ref="E10:E14"/>
  </mergeCells>
  <printOptions horizontalCentered="1"/>
  <pageMargins left="0.43" right="0" top="0.75" bottom="0" header="0" footer="0"/>
  <pageSetup scale="70" orientation="portrait" r:id="rId1"/>
  <headerFooter>
    <oddHeader>&amp;R&amp;D   &amp;T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L66"/>
  <sheetViews>
    <sheetView topLeftCell="A37" zoomScaleNormal="100" workbookViewId="0">
      <selection activeCell="C73" sqref="C73"/>
    </sheetView>
  </sheetViews>
  <sheetFormatPr defaultRowHeight="15" x14ac:dyDescent="0.25"/>
  <cols>
    <col min="1" max="1" width="2.85546875" style="36" customWidth="1"/>
    <col min="2" max="2" width="44.28515625" style="36" customWidth="1"/>
    <col min="3" max="3" width="13.42578125" style="36" customWidth="1"/>
    <col min="4" max="4" width="13.42578125" style="113" customWidth="1"/>
    <col min="5" max="5" width="13.42578125" style="113" hidden="1" customWidth="1"/>
    <col min="6" max="8" width="13.42578125" style="36" customWidth="1"/>
    <col min="9" max="9" width="13.42578125" style="41" customWidth="1"/>
    <col min="10" max="10" width="13.85546875" style="36" bestFit="1" customWidth="1"/>
    <col min="11" max="11" width="13.28515625" style="37" bestFit="1" customWidth="1"/>
    <col min="12" max="12" width="13.28515625" style="36" bestFit="1" customWidth="1"/>
    <col min="13" max="16384" width="9.140625" style="36"/>
  </cols>
  <sheetData>
    <row r="1" spans="1:11" x14ac:dyDescent="0.25">
      <c r="A1" s="36" t="s">
        <v>9</v>
      </c>
      <c r="I1" s="41" t="s">
        <v>27</v>
      </c>
    </row>
    <row r="2" spans="1:11" ht="15" customHeight="1" x14ac:dyDescent="0.25"/>
    <row r="3" spans="1:11" s="114" customFormat="1" ht="18.75" customHeight="1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  <c r="I3" s="1069"/>
      <c r="K3" s="115"/>
    </row>
    <row r="4" spans="1:11" s="114" customFormat="1" ht="18.75" customHeight="1" x14ac:dyDescent="0.25">
      <c r="A4" s="1069" t="s">
        <v>47</v>
      </c>
      <c r="B4" s="1069"/>
      <c r="C4" s="1069"/>
      <c r="D4" s="1069"/>
      <c r="E4" s="1069"/>
      <c r="F4" s="1069"/>
      <c r="G4" s="1069"/>
      <c r="H4" s="1069"/>
      <c r="I4" s="1069"/>
      <c r="K4" s="115"/>
    </row>
    <row r="5" spans="1:11" s="114" customFormat="1" ht="15" customHeight="1" x14ac:dyDescent="0.25">
      <c r="B5" s="116"/>
      <c r="D5" s="117"/>
      <c r="E5" s="117"/>
      <c r="I5" s="118"/>
      <c r="K5" s="115"/>
    </row>
    <row r="6" spans="1:11" s="114" customFormat="1" ht="15" customHeight="1" x14ac:dyDescent="0.25">
      <c r="A6" s="116" t="s">
        <v>114</v>
      </c>
      <c r="B6" s="116"/>
      <c r="D6" s="117"/>
      <c r="E6" s="117"/>
      <c r="I6" s="118"/>
      <c r="K6" s="115"/>
    </row>
    <row r="7" spans="1:11" s="114" customFormat="1" ht="15" customHeight="1" x14ac:dyDescent="0.25">
      <c r="A7" s="114" t="s">
        <v>115</v>
      </c>
      <c r="D7" s="117"/>
      <c r="E7" s="117"/>
      <c r="I7" s="118"/>
      <c r="K7" s="115"/>
    </row>
    <row r="8" spans="1:11" s="114" customFormat="1" ht="15" customHeight="1" x14ac:dyDescent="0.25">
      <c r="A8" s="114" t="s">
        <v>116</v>
      </c>
      <c r="D8" s="117"/>
      <c r="E8" s="117"/>
      <c r="I8" s="118"/>
      <c r="K8" s="115"/>
    </row>
    <row r="9" spans="1:11" ht="15" customHeight="1" x14ac:dyDescent="0.35">
      <c r="B9" s="119"/>
      <c r="D9" s="120"/>
      <c r="E9" s="120"/>
      <c r="F9" s="119"/>
      <c r="G9" s="119"/>
      <c r="H9" s="119"/>
      <c r="I9" s="121"/>
    </row>
    <row r="10" spans="1:11" x14ac:dyDescent="0.25">
      <c r="A10" s="122"/>
      <c r="B10" s="1071" t="s">
        <v>0</v>
      </c>
      <c r="C10" s="1073" t="s">
        <v>1</v>
      </c>
      <c r="D10" s="123" t="s">
        <v>2</v>
      </c>
      <c r="E10" s="1082" t="s">
        <v>105</v>
      </c>
      <c r="F10" s="1075" t="s">
        <v>8</v>
      </c>
      <c r="G10" s="1076"/>
      <c r="H10" s="1071"/>
      <c r="I10" s="123" t="s">
        <v>3</v>
      </c>
    </row>
    <row r="11" spans="1:11" ht="45" x14ac:dyDescent="0.25">
      <c r="A11" s="124"/>
      <c r="B11" s="1072"/>
      <c r="C11" s="1074"/>
      <c r="D11" s="125" t="s">
        <v>4</v>
      </c>
      <c r="E11" s="1083"/>
      <c r="F11" s="126" t="s">
        <v>28</v>
      </c>
      <c r="G11" s="126" t="s">
        <v>29</v>
      </c>
      <c r="H11" s="127" t="s">
        <v>5</v>
      </c>
      <c r="I11" s="125" t="s">
        <v>6</v>
      </c>
    </row>
    <row r="12" spans="1:11" x14ac:dyDescent="0.25">
      <c r="A12" s="124"/>
      <c r="B12" s="128"/>
      <c r="C12" s="129"/>
      <c r="D12" s="125"/>
      <c r="E12" s="1083"/>
      <c r="F12" s="129" t="s">
        <v>4</v>
      </c>
      <c r="G12" s="129" t="s">
        <v>7</v>
      </c>
      <c r="H12" s="129"/>
      <c r="I12" s="130"/>
    </row>
    <row r="13" spans="1:11" x14ac:dyDescent="0.25">
      <c r="A13" s="124"/>
      <c r="B13" s="128"/>
      <c r="C13" s="129"/>
      <c r="D13" s="125">
        <v>2017</v>
      </c>
      <c r="E13" s="1083"/>
      <c r="F13" s="129">
        <v>2018</v>
      </c>
      <c r="G13" s="129">
        <v>2018</v>
      </c>
      <c r="H13" s="129"/>
      <c r="I13" s="125">
        <v>2019</v>
      </c>
    </row>
    <row r="14" spans="1:11" x14ac:dyDescent="0.25">
      <c r="A14" s="131"/>
      <c r="B14" s="132">
        <v>1</v>
      </c>
      <c r="C14" s="133">
        <v>2</v>
      </c>
      <c r="D14" s="133">
        <v>3</v>
      </c>
      <c r="E14" s="1084"/>
      <c r="F14" s="133">
        <v>4</v>
      </c>
      <c r="G14" s="133">
        <v>5</v>
      </c>
      <c r="H14" s="133">
        <v>6</v>
      </c>
      <c r="I14" s="133">
        <v>7</v>
      </c>
    </row>
    <row r="15" spans="1:11" x14ac:dyDescent="0.25">
      <c r="A15" s="134" t="s">
        <v>11</v>
      </c>
      <c r="B15" s="135"/>
      <c r="C15" s="179"/>
      <c r="D15" s="180"/>
      <c r="E15" s="180"/>
      <c r="F15" s="179"/>
      <c r="G15" s="179"/>
      <c r="H15" s="179"/>
      <c r="I15" s="171"/>
    </row>
    <row r="16" spans="1:11" ht="15" customHeight="1" x14ac:dyDescent="0.25">
      <c r="A16" s="54"/>
      <c r="B16" s="172" t="s">
        <v>219</v>
      </c>
      <c r="C16" s="89" t="s">
        <v>73</v>
      </c>
      <c r="D16" s="181">
        <v>1407142.04</v>
      </c>
      <c r="E16" s="181">
        <v>1679184</v>
      </c>
      <c r="F16" s="181">
        <v>965990.27</v>
      </c>
      <c r="G16" s="104">
        <f>H16-F16</f>
        <v>720857.73</v>
      </c>
      <c r="H16" s="181">
        <v>1686848</v>
      </c>
      <c r="I16" s="182">
        <f>[1]MO!$L$33</f>
        <v>1881048</v>
      </c>
      <c r="J16" s="139"/>
    </row>
    <row r="17" spans="1:12" ht="15" customHeight="1" x14ac:dyDescent="0.25">
      <c r="A17" s="54"/>
      <c r="B17" s="172" t="s">
        <v>220</v>
      </c>
      <c r="C17" s="89" t="s">
        <v>86</v>
      </c>
      <c r="D17" s="181">
        <v>878971</v>
      </c>
      <c r="E17" s="181">
        <v>606478</v>
      </c>
      <c r="F17" s="181">
        <v>132200</v>
      </c>
      <c r="G17" s="104">
        <f t="shared" ref="G17:G31" si="0">H17-F17</f>
        <v>473610</v>
      </c>
      <c r="H17" s="181">
        <v>605810</v>
      </c>
      <c r="I17" s="183">
        <f>[1]MO!$M$33</f>
        <v>606478</v>
      </c>
      <c r="J17" s="139"/>
    </row>
    <row r="18" spans="1:12" ht="15" customHeight="1" x14ac:dyDescent="0.25">
      <c r="A18" s="54"/>
      <c r="B18" s="173" t="s">
        <v>221</v>
      </c>
      <c r="C18" s="184" t="s">
        <v>74</v>
      </c>
      <c r="D18" s="181">
        <v>135500</v>
      </c>
      <c r="E18" s="181">
        <v>144000</v>
      </c>
      <c r="F18" s="181">
        <v>88409.1</v>
      </c>
      <c r="G18" s="104">
        <f t="shared" si="0"/>
        <v>56090.899999999994</v>
      </c>
      <c r="H18" s="181">
        <v>144500</v>
      </c>
      <c r="I18" s="182">
        <f>[1]MO!$N$33</f>
        <v>144000</v>
      </c>
      <c r="J18" s="139"/>
    </row>
    <row r="19" spans="1:12" ht="15" customHeight="1" x14ac:dyDescent="0.25">
      <c r="A19" s="54"/>
      <c r="B19" s="173" t="s">
        <v>224</v>
      </c>
      <c r="C19" s="184" t="s">
        <v>75</v>
      </c>
      <c r="D19" s="181">
        <v>81000</v>
      </c>
      <c r="E19" s="181">
        <v>81000</v>
      </c>
      <c r="F19" s="181">
        <v>40500</v>
      </c>
      <c r="G19" s="104">
        <f t="shared" si="0"/>
        <v>40500</v>
      </c>
      <c r="H19" s="181">
        <v>81000</v>
      </c>
      <c r="I19" s="182">
        <f>[1]MO!$O$33</f>
        <v>81000</v>
      </c>
      <c r="J19" s="139"/>
    </row>
    <row r="20" spans="1:12" ht="15" customHeight="1" x14ac:dyDescent="0.25">
      <c r="A20" s="54"/>
      <c r="B20" s="173" t="s">
        <v>223</v>
      </c>
      <c r="C20" s="184" t="s">
        <v>76</v>
      </c>
      <c r="D20" s="181">
        <v>81000</v>
      </c>
      <c r="E20" s="181">
        <v>81000</v>
      </c>
      <c r="F20" s="181">
        <v>40500</v>
      </c>
      <c r="G20" s="104">
        <f t="shared" si="0"/>
        <v>40500</v>
      </c>
      <c r="H20" s="181">
        <v>81000</v>
      </c>
      <c r="I20" s="182">
        <f>[1]MO!$P$33</f>
        <v>81000</v>
      </c>
      <c r="J20" s="139"/>
    </row>
    <row r="21" spans="1:12" ht="15" customHeight="1" x14ac:dyDescent="0.25">
      <c r="A21" s="54"/>
      <c r="B21" s="173" t="s">
        <v>222</v>
      </c>
      <c r="C21" s="184" t="s">
        <v>77</v>
      </c>
      <c r="D21" s="181">
        <v>30000</v>
      </c>
      <c r="E21" s="181">
        <v>30000</v>
      </c>
      <c r="F21" s="181">
        <v>5000</v>
      </c>
      <c r="G21" s="104">
        <f t="shared" si="0"/>
        <v>26000</v>
      </c>
      <c r="H21" s="181">
        <v>31000</v>
      </c>
      <c r="I21" s="182">
        <f>[1]MO!$Q$33</f>
        <v>36000</v>
      </c>
      <c r="J21" s="139"/>
    </row>
    <row r="22" spans="1:12" ht="15" customHeight="1" x14ac:dyDescent="0.25">
      <c r="A22" s="54"/>
      <c r="B22" s="173" t="s">
        <v>225</v>
      </c>
      <c r="C22" s="184" t="s">
        <v>78</v>
      </c>
      <c r="D22" s="183">
        <v>25000</v>
      </c>
      <c r="E22" s="183">
        <v>25000</v>
      </c>
      <c r="F22" s="181"/>
      <c r="G22" s="104">
        <f t="shared" si="0"/>
        <v>25000</v>
      </c>
      <c r="H22" s="181">
        <v>25000</v>
      </c>
      <c r="I22" s="182">
        <f>[1]MO!$R$33</f>
        <v>30000</v>
      </c>
      <c r="J22" s="139"/>
    </row>
    <row r="23" spans="1:12" ht="15" customHeight="1" x14ac:dyDescent="0.25">
      <c r="A23" s="54"/>
      <c r="B23" s="173" t="s">
        <v>253</v>
      </c>
      <c r="C23" s="184" t="s">
        <v>88</v>
      </c>
      <c r="D23" s="181"/>
      <c r="E23" s="181">
        <v>70000</v>
      </c>
      <c r="F23" s="181"/>
      <c r="G23" s="104">
        <f>H23-F23</f>
        <v>70000</v>
      </c>
      <c r="H23" s="181">
        <v>70000</v>
      </c>
      <c r="I23" s="182">
        <f>[1]MO!$AA$33</f>
        <v>100000</v>
      </c>
      <c r="J23" s="139"/>
    </row>
    <row r="24" spans="1:12" ht="15" customHeight="1" x14ac:dyDescent="0.25">
      <c r="A24" s="54"/>
      <c r="B24" s="173" t="s">
        <v>226</v>
      </c>
      <c r="C24" s="184" t="s">
        <v>80</v>
      </c>
      <c r="D24" s="181">
        <f>125247+124072.6</f>
        <v>249319.6</v>
      </c>
      <c r="E24" s="181">
        <f>168496+139932</f>
        <v>308428</v>
      </c>
      <c r="F24" s="181">
        <v>139702</v>
      </c>
      <c r="G24" s="104">
        <f>H24-F24</f>
        <v>166294</v>
      </c>
      <c r="H24" s="181">
        <v>305996</v>
      </c>
      <c r="I24" s="182">
        <f>[1]MO!$S$33</f>
        <v>313508</v>
      </c>
      <c r="J24" s="139"/>
    </row>
    <row r="25" spans="1:12" ht="15" customHeight="1" x14ac:dyDescent="0.25">
      <c r="A25" s="54"/>
      <c r="B25" s="173" t="s">
        <v>227</v>
      </c>
      <c r="C25" s="184" t="s">
        <v>79</v>
      </c>
      <c r="D25" s="181">
        <v>29500</v>
      </c>
      <c r="E25" s="181">
        <v>30000</v>
      </c>
      <c r="F25" s="181"/>
      <c r="G25" s="104">
        <f t="shared" si="0"/>
        <v>30000</v>
      </c>
      <c r="H25" s="181">
        <v>30000</v>
      </c>
      <c r="I25" s="182">
        <f>[1]MO!$R$33</f>
        <v>30000</v>
      </c>
      <c r="J25" s="139"/>
    </row>
    <row r="26" spans="1:12" ht="15" customHeight="1" x14ac:dyDescent="0.25">
      <c r="A26" s="54"/>
      <c r="B26" s="173" t="s">
        <v>228</v>
      </c>
      <c r="C26" s="184" t="s">
        <v>81</v>
      </c>
      <c r="D26" s="181">
        <v>164968.16</v>
      </c>
      <c r="E26" s="181">
        <v>242634.23999999999</v>
      </c>
      <c r="F26" s="181">
        <v>116584.2</v>
      </c>
      <c r="G26" s="104">
        <f t="shared" si="0"/>
        <v>106087.31999999999</v>
      </c>
      <c r="H26" s="181">
        <v>222671.52</v>
      </c>
      <c r="I26" s="182">
        <f>[1]MO!$U$33</f>
        <v>225725.75999999998</v>
      </c>
      <c r="J26" s="139"/>
    </row>
    <row r="27" spans="1:12" ht="15" customHeight="1" x14ac:dyDescent="0.25">
      <c r="A27" s="54"/>
      <c r="B27" s="173" t="s">
        <v>229</v>
      </c>
      <c r="C27" s="184" t="s">
        <v>82</v>
      </c>
      <c r="D27" s="181">
        <v>6400</v>
      </c>
      <c r="E27" s="181">
        <v>7200</v>
      </c>
      <c r="F27" s="181">
        <v>4600</v>
      </c>
      <c r="G27" s="104">
        <f t="shared" si="0"/>
        <v>2600</v>
      </c>
      <c r="H27" s="181">
        <v>7200</v>
      </c>
      <c r="I27" s="182">
        <f>[1]MO!$V$33</f>
        <v>7200</v>
      </c>
      <c r="J27" s="139"/>
    </row>
    <row r="28" spans="1:12" ht="15" customHeight="1" x14ac:dyDescent="0.25">
      <c r="A28" s="54"/>
      <c r="B28" s="173" t="s">
        <v>230</v>
      </c>
      <c r="C28" s="184" t="s">
        <v>83</v>
      </c>
      <c r="D28" s="181">
        <v>13750</v>
      </c>
      <c r="E28" s="181">
        <v>13500</v>
      </c>
      <c r="F28" s="181">
        <v>11199.7</v>
      </c>
      <c r="G28" s="104">
        <f t="shared" si="0"/>
        <v>5293.739999999998</v>
      </c>
      <c r="H28" s="181">
        <v>16493.439999999999</v>
      </c>
      <c r="I28" s="182">
        <f>[1]MO!$W$33</f>
        <v>17439.839999999997</v>
      </c>
      <c r="J28" s="139"/>
    </row>
    <row r="29" spans="1:12" ht="15" customHeight="1" x14ac:dyDescent="0.25">
      <c r="A29" s="54"/>
      <c r="B29" s="174" t="s">
        <v>231</v>
      </c>
      <c r="C29" s="184" t="s">
        <v>84</v>
      </c>
      <c r="D29" s="181">
        <v>5709.6</v>
      </c>
      <c r="E29" s="181">
        <v>20219.52</v>
      </c>
      <c r="F29" s="181">
        <v>4266.5200000000004</v>
      </c>
      <c r="G29" s="104">
        <f t="shared" si="0"/>
        <v>6795.6999999999989</v>
      </c>
      <c r="H29" s="181">
        <v>11062.22</v>
      </c>
      <c r="I29" s="182">
        <f>[1]MO!$X$33</f>
        <v>18810.48</v>
      </c>
      <c r="J29" s="139"/>
    </row>
    <row r="30" spans="1:12" ht="15" customHeight="1" x14ac:dyDescent="0.25">
      <c r="A30" s="54"/>
      <c r="B30" s="173" t="s">
        <v>232</v>
      </c>
      <c r="C30" s="184" t="s">
        <v>87</v>
      </c>
      <c r="D30" s="181"/>
      <c r="E30" s="181"/>
      <c r="F30" s="181"/>
      <c r="G30" s="104">
        <f>H30-F30</f>
        <v>0</v>
      </c>
      <c r="H30" s="181"/>
      <c r="I30" s="185">
        <f>[1]MO!$Y$33</f>
        <v>1000000</v>
      </c>
      <c r="J30" s="139"/>
    </row>
    <row r="31" spans="1:12" ht="15" customHeight="1" x14ac:dyDescent="0.25">
      <c r="A31" s="136"/>
      <c r="B31" s="175" t="s">
        <v>233</v>
      </c>
      <c r="C31" s="186" t="s">
        <v>85</v>
      </c>
      <c r="D31" s="187">
        <v>102003.82</v>
      </c>
      <c r="E31" s="187">
        <v>162405.54</v>
      </c>
      <c r="F31" s="187">
        <v>113680.8</v>
      </c>
      <c r="G31" s="188">
        <f t="shared" si="0"/>
        <v>19261.680000000008</v>
      </c>
      <c r="H31" s="187">
        <v>132942.48000000001</v>
      </c>
      <c r="I31" s="189">
        <f>[1]MO!$Z$33</f>
        <v>151087.969916</v>
      </c>
      <c r="J31" s="139"/>
    </row>
    <row r="32" spans="1:12" ht="16.5" customHeight="1" x14ac:dyDescent="0.25">
      <c r="A32" s="1077" t="s">
        <v>71</v>
      </c>
      <c r="B32" s="1078"/>
      <c r="C32" s="137"/>
      <c r="D32" s="138">
        <f t="shared" ref="D32:H32" si="1">SUM(D16:D31)</f>
        <v>3210264.22</v>
      </c>
      <c r="E32" s="138">
        <f t="shared" si="1"/>
        <v>3501049.3000000003</v>
      </c>
      <c r="F32" s="138">
        <f t="shared" si="1"/>
        <v>1662632.59</v>
      </c>
      <c r="G32" s="138">
        <f t="shared" si="1"/>
        <v>1788891.0699999998</v>
      </c>
      <c r="H32" s="138">
        <f t="shared" si="1"/>
        <v>3451523.66</v>
      </c>
      <c r="I32" s="138">
        <f>SUM(I16:I31)</f>
        <v>4723298.0499160001</v>
      </c>
      <c r="J32" s="139"/>
      <c r="L32" s="37"/>
    </row>
    <row r="33" spans="1:12" ht="15" customHeight="1" x14ac:dyDescent="0.25">
      <c r="A33" s="140" t="s">
        <v>14</v>
      </c>
      <c r="B33" s="141"/>
      <c r="C33" s="190"/>
      <c r="D33" s="191"/>
      <c r="E33" s="191"/>
      <c r="F33" s="190"/>
      <c r="G33" s="190"/>
      <c r="H33" s="190"/>
      <c r="I33" s="130"/>
      <c r="L33" s="139"/>
    </row>
    <row r="34" spans="1:12" ht="15" customHeight="1" x14ac:dyDescent="0.25">
      <c r="A34" s="54"/>
      <c r="B34" s="172" t="s">
        <v>234</v>
      </c>
      <c r="C34" s="89" t="s">
        <v>92</v>
      </c>
      <c r="D34" s="192">
        <v>814658.23</v>
      </c>
      <c r="E34" s="79">
        <v>400000</v>
      </c>
      <c r="F34" s="193">
        <v>258743.59</v>
      </c>
      <c r="G34" s="104">
        <f>H34-F34</f>
        <v>141218.62000000002</v>
      </c>
      <c r="H34" s="86">
        <v>399962.21</v>
      </c>
      <c r="I34" s="79">
        <v>400000</v>
      </c>
      <c r="J34" s="139"/>
    </row>
    <row r="35" spans="1:12" ht="15" customHeight="1" x14ac:dyDescent="0.25">
      <c r="A35" s="54"/>
      <c r="B35" s="172" t="s">
        <v>235</v>
      </c>
      <c r="C35" s="89" t="s">
        <v>93</v>
      </c>
      <c r="D35" s="192">
        <v>42093.85</v>
      </c>
      <c r="E35" s="79">
        <v>200000</v>
      </c>
      <c r="F35" s="193"/>
      <c r="G35" s="104">
        <f>H35-F35</f>
        <v>135533.99</v>
      </c>
      <c r="H35" s="86">
        <v>135533.99</v>
      </c>
      <c r="I35" s="79">
        <v>125000</v>
      </c>
      <c r="J35" s="139"/>
    </row>
    <row r="36" spans="1:12" ht="15" customHeight="1" x14ac:dyDescent="0.25">
      <c r="A36" s="54"/>
      <c r="B36" s="172" t="s">
        <v>236</v>
      </c>
      <c r="C36" s="89" t="s">
        <v>94</v>
      </c>
      <c r="D36" s="192">
        <v>135723.15</v>
      </c>
      <c r="E36" s="79">
        <v>100000</v>
      </c>
      <c r="F36" s="193">
        <v>85141.03</v>
      </c>
      <c r="G36" s="104">
        <f>H36-F36</f>
        <v>60179.570000000007</v>
      </c>
      <c r="H36" s="86">
        <v>145320.6</v>
      </c>
      <c r="I36" s="79">
        <v>100000</v>
      </c>
      <c r="J36" s="139"/>
    </row>
    <row r="37" spans="1:12" ht="15" customHeight="1" x14ac:dyDescent="0.25">
      <c r="A37" s="54"/>
      <c r="B37" s="172" t="s">
        <v>237</v>
      </c>
      <c r="C37" s="89" t="s">
        <v>95</v>
      </c>
      <c r="D37" s="192">
        <v>547441.26</v>
      </c>
      <c r="E37" s="79">
        <v>200000</v>
      </c>
      <c r="F37" s="193">
        <v>123808.62</v>
      </c>
      <c r="G37" s="104">
        <f>H37-F37</f>
        <v>47269.75</v>
      </c>
      <c r="H37" s="86">
        <v>171078.37</v>
      </c>
      <c r="I37" s="79">
        <v>175000</v>
      </c>
      <c r="J37" s="139"/>
    </row>
    <row r="38" spans="1:12" ht="15" customHeight="1" x14ac:dyDescent="0.25">
      <c r="A38" s="54"/>
      <c r="B38" s="172" t="s">
        <v>238</v>
      </c>
      <c r="C38" s="89" t="s">
        <v>118</v>
      </c>
      <c r="D38" s="192"/>
      <c r="E38" s="79"/>
      <c r="F38" s="193"/>
      <c r="G38" s="104"/>
      <c r="H38" s="86"/>
      <c r="I38" s="79">
        <v>25000</v>
      </c>
      <c r="J38" s="139"/>
    </row>
    <row r="39" spans="1:12" ht="15" customHeight="1" x14ac:dyDescent="0.25">
      <c r="A39" s="54"/>
      <c r="B39" s="172" t="s">
        <v>254</v>
      </c>
      <c r="C39" s="89" t="s">
        <v>100</v>
      </c>
      <c r="D39" s="192">
        <v>199521.3</v>
      </c>
      <c r="E39" s="79">
        <v>0</v>
      </c>
      <c r="F39" s="194"/>
      <c r="G39" s="104">
        <f t="shared" ref="G39:G51" si="2">H39-F39</f>
        <v>0</v>
      </c>
      <c r="H39" s="86"/>
      <c r="I39" s="79"/>
      <c r="J39" s="139"/>
    </row>
    <row r="40" spans="1:12" ht="15" customHeight="1" x14ac:dyDescent="0.25">
      <c r="A40" s="54"/>
      <c r="B40" s="172" t="s">
        <v>255</v>
      </c>
      <c r="C40" s="89" t="s">
        <v>96</v>
      </c>
      <c r="D40" s="192"/>
      <c r="E40" s="79">
        <f>200000</f>
        <v>200000</v>
      </c>
      <c r="F40" s="193">
        <f>88245</f>
        <v>88245</v>
      </c>
      <c r="G40" s="104">
        <f t="shared" ref="G40:G46" si="3">H40-F40</f>
        <v>111600</v>
      </c>
      <c r="H40" s="86">
        <v>199845</v>
      </c>
      <c r="I40" s="79">
        <v>200000</v>
      </c>
      <c r="J40" s="139"/>
    </row>
    <row r="41" spans="1:12" ht="15" customHeight="1" x14ac:dyDescent="0.25">
      <c r="A41" s="54"/>
      <c r="B41" s="172" t="s">
        <v>239</v>
      </c>
      <c r="C41" s="89" t="s">
        <v>96</v>
      </c>
      <c r="D41" s="192"/>
      <c r="E41" s="79">
        <v>289000</v>
      </c>
      <c r="F41" s="193">
        <v>292310</v>
      </c>
      <c r="G41" s="104">
        <f t="shared" si="3"/>
        <v>29500</v>
      </c>
      <c r="H41" s="86">
        <v>321810</v>
      </c>
      <c r="I41" s="79">
        <v>289000</v>
      </c>
      <c r="J41" s="139"/>
    </row>
    <row r="42" spans="1:12" ht="15" customHeight="1" x14ac:dyDescent="0.25">
      <c r="A42" s="54"/>
      <c r="B42" s="172" t="s">
        <v>240</v>
      </c>
      <c r="C42" s="89" t="s">
        <v>99</v>
      </c>
      <c r="D42" s="192">
        <v>8209</v>
      </c>
      <c r="E42" s="79"/>
      <c r="F42" s="193"/>
      <c r="G42" s="104">
        <f t="shared" si="3"/>
        <v>0</v>
      </c>
      <c r="H42" s="86"/>
      <c r="I42" s="79">
        <v>50000</v>
      </c>
      <c r="J42" s="139"/>
    </row>
    <row r="43" spans="1:12" ht="15" customHeight="1" x14ac:dyDescent="0.25">
      <c r="A43" s="54"/>
      <c r="B43" s="176" t="s">
        <v>256</v>
      </c>
      <c r="C43" s="89" t="s">
        <v>101</v>
      </c>
      <c r="D43" s="192">
        <v>48860.04</v>
      </c>
      <c r="E43" s="104">
        <v>100000</v>
      </c>
      <c r="F43" s="194">
        <v>17737.5</v>
      </c>
      <c r="G43" s="104">
        <f t="shared" si="3"/>
        <v>48331.95</v>
      </c>
      <c r="H43" s="86">
        <v>66069.45</v>
      </c>
      <c r="I43" s="104">
        <v>100000</v>
      </c>
      <c r="J43" s="139"/>
    </row>
    <row r="44" spans="1:12" ht="15" customHeight="1" x14ac:dyDescent="0.25">
      <c r="A44" s="54"/>
      <c r="B44" s="172" t="s">
        <v>257</v>
      </c>
      <c r="C44" s="89" t="s">
        <v>106</v>
      </c>
      <c r="D44" s="192"/>
      <c r="E44" s="104">
        <v>0</v>
      </c>
      <c r="F44" s="194"/>
      <c r="G44" s="104">
        <f t="shared" si="3"/>
        <v>0</v>
      </c>
      <c r="H44" s="86"/>
      <c r="I44" s="104">
        <v>25000</v>
      </c>
      <c r="J44" s="139"/>
    </row>
    <row r="45" spans="1:12" ht="15" customHeight="1" x14ac:dyDescent="0.25">
      <c r="A45" s="54"/>
      <c r="B45" s="172" t="s">
        <v>258</v>
      </c>
      <c r="C45" s="89" t="s">
        <v>97</v>
      </c>
      <c r="D45" s="192"/>
      <c r="E45" s="79">
        <v>100000</v>
      </c>
      <c r="F45" s="192">
        <v>48021.37</v>
      </c>
      <c r="G45" s="104">
        <f t="shared" si="3"/>
        <v>42992.55999999999</v>
      </c>
      <c r="H45" s="86">
        <v>91013.93</v>
      </c>
      <c r="I45" s="79">
        <v>100000</v>
      </c>
      <c r="J45" s="139"/>
    </row>
    <row r="46" spans="1:12" ht="15" customHeight="1" x14ac:dyDescent="0.25">
      <c r="A46" s="54"/>
      <c r="B46" s="177" t="s">
        <v>259</v>
      </c>
      <c r="C46" s="89" t="s">
        <v>97</v>
      </c>
      <c r="D46" s="192">
        <v>441865</v>
      </c>
      <c r="E46" s="79">
        <v>25000</v>
      </c>
      <c r="F46" s="194">
        <v>6793.1</v>
      </c>
      <c r="G46" s="104">
        <f t="shared" si="3"/>
        <v>26838</v>
      </c>
      <c r="H46" s="86">
        <v>33631.1</v>
      </c>
      <c r="I46" s="79">
        <v>25000</v>
      </c>
      <c r="J46" s="139"/>
    </row>
    <row r="47" spans="1:12" ht="6.75" customHeight="1" x14ac:dyDescent="0.25">
      <c r="A47" s="54"/>
      <c r="B47" s="177"/>
      <c r="C47" s="89"/>
      <c r="D47" s="192"/>
      <c r="E47" s="79"/>
      <c r="F47" s="194"/>
      <c r="G47" s="104">
        <f t="shared" si="2"/>
        <v>0</v>
      </c>
      <c r="H47" s="86"/>
      <c r="I47" s="79"/>
    </row>
    <row r="48" spans="1:12" ht="15" customHeight="1" x14ac:dyDescent="0.25">
      <c r="A48" s="54"/>
      <c r="B48" s="172" t="s">
        <v>260</v>
      </c>
      <c r="C48" s="89" t="s">
        <v>92</v>
      </c>
      <c r="D48" s="192">
        <v>41240</v>
      </c>
      <c r="E48" s="104">
        <v>30000</v>
      </c>
      <c r="F48" s="194">
        <v>23006.58</v>
      </c>
      <c r="G48" s="104">
        <f t="shared" si="2"/>
        <v>6980</v>
      </c>
      <c r="H48" s="86">
        <v>29986.58</v>
      </c>
      <c r="I48" s="104">
        <v>30000</v>
      </c>
      <c r="J48" s="139"/>
    </row>
    <row r="49" spans="1:12" ht="15" customHeight="1" x14ac:dyDescent="0.25">
      <c r="A49" s="54"/>
      <c r="B49" s="172" t="s">
        <v>261</v>
      </c>
      <c r="C49" s="89" t="s">
        <v>93</v>
      </c>
      <c r="D49" s="192">
        <v>3245</v>
      </c>
      <c r="E49" s="104">
        <v>30000</v>
      </c>
      <c r="F49" s="194"/>
      <c r="G49" s="104">
        <f t="shared" si="2"/>
        <v>33000</v>
      </c>
      <c r="H49" s="86">
        <v>33000</v>
      </c>
      <c r="I49" s="104">
        <v>30000</v>
      </c>
      <c r="J49" s="139"/>
    </row>
    <row r="50" spans="1:12" ht="15" customHeight="1" x14ac:dyDescent="0.25">
      <c r="A50" s="54"/>
      <c r="B50" s="172" t="s">
        <v>262</v>
      </c>
      <c r="C50" s="89" t="s">
        <v>94</v>
      </c>
      <c r="D50" s="192">
        <v>21752.04</v>
      </c>
      <c r="E50" s="104">
        <v>50000</v>
      </c>
      <c r="F50" s="194">
        <v>34682.03</v>
      </c>
      <c r="G50" s="104">
        <f t="shared" si="2"/>
        <v>14948.410000000003</v>
      </c>
      <c r="H50" s="86">
        <v>49630.44</v>
      </c>
      <c r="I50" s="104">
        <v>50000</v>
      </c>
      <c r="J50" s="139"/>
    </row>
    <row r="51" spans="1:12" ht="15" customHeight="1" x14ac:dyDescent="0.25">
      <c r="A51" s="136"/>
      <c r="B51" s="178" t="s">
        <v>263</v>
      </c>
      <c r="C51" s="96" t="s">
        <v>96</v>
      </c>
      <c r="D51" s="195">
        <v>81798.12</v>
      </c>
      <c r="E51" s="188">
        <v>50000</v>
      </c>
      <c r="F51" s="196">
        <v>11580</v>
      </c>
      <c r="G51" s="188">
        <f t="shared" si="2"/>
        <v>31720</v>
      </c>
      <c r="H51" s="197">
        <v>43300</v>
      </c>
      <c r="I51" s="188">
        <v>50000</v>
      </c>
      <c r="J51" s="139"/>
    </row>
    <row r="52" spans="1:12" ht="15" customHeight="1" x14ac:dyDescent="0.25">
      <c r="A52" s="1079" t="s">
        <v>68</v>
      </c>
      <c r="B52" s="1080"/>
      <c r="C52" s="142"/>
      <c r="D52" s="143">
        <f>SUM(D34:D51)</f>
        <v>2386406.9900000002</v>
      </c>
      <c r="E52" s="143">
        <f t="shared" ref="E52:H52" si="4">SUM(E34:E51)</f>
        <v>1774000</v>
      </c>
      <c r="F52" s="143">
        <f t="shared" si="4"/>
        <v>990068.82</v>
      </c>
      <c r="G52" s="143">
        <f t="shared" si="4"/>
        <v>730112.84999999986</v>
      </c>
      <c r="H52" s="143">
        <f t="shared" si="4"/>
        <v>1720181.67</v>
      </c>
      <c r="I52" s="143">
        <f>SUM(I34:I51)</f>
        <v>1774000</v>
      </c>
      <c r="J52" s="144"/>
      <c r="K52" s="44"/>
      <c r="L52" s="139"/>
    </row>
    <row r="53" spans="1:12" ht="15" customHeight="1" x14ac:dyDescent="0.25">
      <c r="A53" s="145" t="s">
        <v>13</v>
      </c>
      <c r="B53" s="150"/>
      <c r="C53" s="146"/>
      <c r="D53" s="147"/>
      <c r="E53" s="147"/>
      <c r="F53" s="148"/>
      <c r="G53" s="148"/>
      <c r="H53" s="148"/>
      <c r="I53" s="147"/>
      <c r="J53" s="139"/>
    </row>
    <row r="54" spans="1:12" ht="15" customHeight="1" x14ac:dyDescent="0.25">
      <c r="A54" s="54"/>
      <c r="B54" s="172" t="s">
        <v>264</v>
      </c>
      <c r="C54" s="89" t="s">
        <v>110</v>
      </c>
      <c r="D54" s="198">
        <v>25000</v>
      </c>
      <c r="E54" s="198"/>
      <c r="F54" s="199"/>
      <c r="G54" s="104">
        <f t="shared" ref="G54:G58" si="5">H54-F54</f>
        <v>0</v>
      </c>
      <c r="H54" s="199"/>
      <c r="I54" s="198"/>
      <c r="J54" s="139"/>
    </row>
    <row r="55" spans="1:12" ht="15" customHeight="1" x14ac:dyDescent="0.25">
      <c r="A55" s="54"/>
      <c r="B55" s="167" t="s">
        <v>252</v>
      </c>
      <c r="C55" s="200" t="s">
        <v>159</v>
      </c>
      <c r="D55" s="198"/>
      <c r="E55" s="198"/>
      <c r="F55" s="199"/>
      <c r="G55" s="104"/>
      <c r="H55" s="199"/>
      <c r="I55" s="198">
        <v>150000</v>
      </c>
      <c r="J55" s="139"/>
    </row>
    <row r="56" spans="1:12" ht="15" customHeight="1" x14ac:dyDescent="0.25">
      <c r="A56" s="54"/>
      <c r="B56" s="172" t="s">
        <v>244</v>
      </c>
      <c r="C56" s="201" t="s">
        <v>108</v>
      </c>
      <c r="D56" s="198"/>
      <c r="E56" s="198"/>
      <c r="F56" s="199"/>
      <c r="G56" s="104">
        <f t="shared" si="5"/>
        <v>0</v>
      </c>
      <c r="H56" s="199"/>
      <c r="I56" s="198">
        <v>100000</v>
      </c>
      <c r="J56" s="139"/>
    </row>
    <row r="57" spans="1:12" ht="15" customHeight="1" x14ac:dyDescent="0.25">
      <c r="A57" s="54"/>
      <c r="B57" s="172" t="s">
        <v>245</v>
      </c>
      <c r="C57" s="201" t="s">
        <v>107</v>
      </c>
      <c r="D57" s="198">
        <v>700</v>
      </c>
      <c r="E57" s="198">
        <v>50000</v>
      </c>
      <c r="F57" s="199">
        <v>38050</v>
      </c>
      <c r="G57" s="104">
        <f t="shared" si="5"/>
        <v>10300</v>
      </c>
      <c r="H57" s="199">
        <v>48350</v>
      </c>
      <c r="I57" s="198">
        <v>32000</v>
      </c>
      <c r="J57" s="139"/>
    </row>
    <row r="58" spans="1:12" ht="15" customHeight="1" x14ac:dyDescent="0.25">
      <c r="A58" s="136"/>
      <c r="B58" s="178" t="s">
        <v>265</v>
      </c>
      <c r="C58" s="96" t="s">
        <v>109</v>
      </c>
      <c r="D58" s="202">
        <f>SUM(D53)</f>
        <v>0</v>
      </c>
      <c r="E58" s="202">
        <v>150000</v>
      </c>
      <c r="F58" s="203">
        <v>99950</v>
      </c>
      <c r="G58" s="188">
        <f t="shared" si="5"/>
        <v>39505.920000000013</v>
      </c>
      <c r="H58" s="203">
        <v>139455.92000000001</v>
      </c>
      <c r="I58" s="202"/>
      <c r="J58" s="139"/>
    </row>
    <row r="59" spans="1:12" ht="15" customHeight="1" x14ac:dyDescent="0.25">
      <c r="A59" s="1079" t="s">
        <v>266</v>
      </c>
      <c r="B59" s="1081"/>
      <c r="C59" s="142"/>
      <c r="D59" s="143">
        <f t="shared" ref="D59:I59" si="6">SUM(D54:D58)</f>
        <v>25700</v>
      </c>
      <c r="E59" s="143">
        <f t="shared" si="6"/>
        <v>200000</v>
      </c>
      <c r="F59" s="143">
        <f t="shared" si="6"/>
        <v>138000</v>
      </c>
      <c r="G59" s="143">
        <f t="shared" si="6"/>
        <v>49805.920000000013</v>
      </c>
      <c r="H59" s="143">
        <f t="shared" si="6"/>
        <v>187805.92</v>
      </c>
      <c r="I59" s="143">
        <f t="shared" si="6"/>
        <v>282000</v>
      </c>
      <c r="K59" s="44"/>
    </row>
    <row r="60" spans="1:12" ht="15" customHeight="1" x14ac:dyDescent="0.25">
      <c r="A60" s="1079" t="s">
        <v>20</v>
      </c>
      <c r="B60" s="1080"/>
      <c r="C60" s="204"/>
      <c r="D60" s="143">
        <f>D32+D52+D59</f>
        <v>5622371.2100000009</v>
      </c>
      <c r="E60" s="143">
        <f t="shared" ref="E60:I60" si="7">E32+E52+E59</f>
        <v>5475049.3000000007</v>
      </c>
      <c r="F60" s="143">
        <f t="shared" si="7"/>
        <v>2790701.41</v>
      </c>
      <c r="G60" s="143">
        <f t="shared" si="7"/>
        <v>2568809.84</v>
      </c>
      <c r="H60" s="143">
        <f>H32+H52+H59</f>
        <v>5359511.25</v>
      </c>
      <c r="I60" s="143">
        <f t="shared" si="7"/>
        <v>6779298.0499160001</v>
      </c>
      <c r="K60" s="149"/>
    </row>
    <row r="61" spans="1:12" ht="22.5" customHeight="1" x14ac:dyDescent="0.25">
      <c r="B61" s="150"/>
      <c r="C61" s="151"/>
      <c r="D61" s="152"/>
      <c r="E61" s="152"/>
      <c r="F61" s="149"/>
      <c r="G61" s="149"/>
      <c r="H61" s="149"/>
      <c r="I61" s="152"/>
      <c r="K61" s="149"/>
    </row>
    <row r="62" spans="1:12" ht="16.5" customHeight="1" x14ac:dyDescent="0.25">
      <c r="B62" s="153" t="s">
        <v>22</v>
      </c>
      <c r="C62" s="36" t="s">
        <v>23</v>
      </c>
      <c r="D62" s="36"/>
      <c r="G62" s="36" t="s">
        <v>24</v>
      </c>
    </row>
    <row r="63" spans="1:12" ht="22.5" customHeight="1" x14ac:dyDescent="0.25">
      <c r="D63" s="36"/>
    </row>
    <row r="64" spans="1:12" x14ac:dyDescent="0.25">
      <c r="B64" s="154" t="s">
        <v>62</v>
      </c>
      <c r="C64" s="1086" t="s">
        <v>51</v>
      </c>
      <c r="D64" s="1086"/>
      <c r="E64" s="1086"/>
      <c r="F64" s="1086"/>
      <c r="G64" s="1085" t="str">
        <f>B64</f>
        <v xml:space="preserve">EUGENIO B. DATAHAN II  </v>
      </c>
      <c r="H64" s="1085"/>
      <c r="I64" s="1085"/>
    </row>
    <row r="65" spans="2:9" x14ac:dyDescent="0.25">
      <c r="B65" s="155" t="s">
        <v>63</v>
      </c>
      <c r="C65" s="1070" t="s">
        <v>64</v>
      </c>
      <c r="D65" s="1070"/>
      <c r="E65" s="1070"/>
      <c r="F65" s="1070"/>
      <c r="G65" s="1070" t="s">
        <v>67</v>
      </c>
      <c r="H65" s="1070"/>
      <c r="I65" s="1070"/>
    </row>
    <row r="66" spans="2:9" ht="21" x14ac:dyDescent="0.35">
      <c r="B66" s="119"/>
      <c r="D66" s="120"/>
      <c r="E66" s="120"/>
      <c r="F66" s="119"/>
      <c r="G66" s="119"/>
      <c r="H66" s="119"/>
      <c r="I66" s="121"/>
    </row>
  </sheetData>
  <sheetProtection algorithmName="SHA-512" hashValue="QF3PM9jN7oplwhg3mFJ3jVoi+ldiGx6AYQzqeHEeLB/XZa793+7g556N8q7SqcqTYkvYhTy0o9Jw8R/DbOZmKw==" saltValue="nAgl9f9cW1li19PtT9gcXg==" spinCount="100000" sheet="1" objects="1" scenarios="1" selectLockedCells="1" selectUnlockedCells="1"/>
  <mergeCells count="14">
    <mergeCell ref="A3:I3"/>
    <mergeCell ref="A4:I4"/>
    <mergeCell ref="C65:F65"/>
    <mergeCell ref="B10:B11"/>
    <mergeCell ref="C10:C11"/>
    <mergeCell ref="F10:H10"/>
    <mergeCell ref="G65:I65"/>
    <mergeCell ref="A32:B32"/>
    <mergeCell ref="A52:B52"/>
    <mergeCell ref="A59:B59"/>
    <mergeCell ref="A60:B60"/>
    <mergeCell ref="E10:E14"/>
    <mergeCell ref="G64:I64"/>
    <mergeCell ref="C64:F64"/>
  </mergeCells>
  <printOptions horizontalCentered="1"/>
  <pageMargins left="0.56999999999999995" right="0" top="0.51" bottom="0" header="0" footer="0"/>
  <pageSetup scale="75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67"/>
  <sheetViews>
    <sheetView topLeftCell="A40" workbookViewId="0">
      <selection activeCell="L77" sqref="L77"/>
    </sheetView>
  </sheetViews>
  <sheetFormatPr defaultRowHeight="15" x14ac:dyDescent="0.25"/>
  <cols>
    <col min="1" max="1" width="9.28515625" style="159" customWidth="1"/>
    <col min="2" max="2" width="8.7109375" style="159" customWidth="1"/>
    <col min="3" max="3" width="39.28515625" style="159" customWidth="1"/>
    <col min="4" max="4" width="12.5703125" style="159" customWidth="1"/>
    <col min="5" max="5" width="14.28515625" style="159" customWidth="1"/>
    <col min="6" max="6" width="15.28515625" style="159" hidden="1" customWidth="1"/>
    <col min="7" max="8" width="14.28515625" style="159" customWidth="1"/>
    <col min="9" max="9" width="14.140625" style="159" customWidth="1"/>
    <col min="10" max="10" width="14.28515625" style="159" customWidth="1"/>
    <col min="11" max="11" width="13.85546875" style="159" bestFit="1" customWidth="1"/>
    <col min="12" max="12" width="15.42578125" style="159" customWidth="1"/>
    <col min="13" max="13" width="17" style="159" customWidth="1"/>
    <col min="14" max="14" width="9.28515625" style="159" customWidth="1"/>
    <col min="15" max="16384" width="9.140625" style="159"/>
  </cols>
  <sheetData>
    <row r="1" spans="1:13" x14ac:dyDescent="0.25">
      <c r="A1" s="159" t="s">
        <v>318</v>
      </c>
      <c r="J1" s="159" t="s">
        <v>319</v>
      </c>
    </row>
    <row r="3" spans="1:13" s="114" customFormat="1" ht="15" customHeight="1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  <c r="I3" s="1069"/>
      <c r="J3" s="1069"/>
      <c r="K3" s="217"/>
      <c r="L3" s="217"/>
      <c r="M3" s="217"/>
    </row>
    <row r="4" spans="1:13" s="114" customFormat="1" ht="15" customHeight="1" x14ac:dyDescent="0.25">
      <c r="A4" s="1069" t="s">
        <v>47</v>
      </c>
      <c r="B4" s="1069"/>
      <c r="C4" s="1069"/>
      <c r="D4" s="1069"/>
      <c r="E4" s="1069"/>
      <c r="F4" s="1069"/>
      <c r="G4" s="1069"/>
      <c r="H4" s="1069"/>
      <c r="I4" s="1069"/>
      <c r="J4" s="1069"/>
    </row>
    <row r="5" spans="1:13" s="114" customFormat="1" ht="15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</row>
    <row r="6" spans="1:13" s="114" customFormat="1" ht="15.75" customHeight="1" x14ac:dyDescent="0.25">
      <c r="A6" s="219" t="s">
        <v>321</v>
      </c>
      <c r="B6" s="205"/>
      <c r="C6" s="205"/>
      <c r="D6" s="205"/>
      <c r="E6" s="205"/>
      <c r="F6" s="205"/>
      <c r="G6" s="205"/>
      <c r="H6" s="205"/>
      <c r="I6" s="205"/>
      <c r="J6" s="205"/>
    </row>
    <row r="7" spans="1:13" s="114" customFormat="1" ht="16.5" customHeight="1" x14ac:dyDescent="0.25">
      <c r="A7" s="219" t="s">
        <v>322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3" s="114" customFormat="1" ht="15" customHeight="1" x14ac:dyDescent="0.25">
      <c r="A8" s="219" t="s">
        <v>131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3" ht="15" customHeight="1" x14ac:dyDescent="0.35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0" spans="1:13" ht="19.5" customHeight="1" x14ac:dyDescent="0.25">
      <c r="A10" s="1073" t="s">
        <v>323</v>
      </c>
      <c r="B10" s="1135" t="s">
        <v>324</v>
      </c>
      <c r="C10" s="1135" t="s">
        <v>325</v>
      </c>
      <c r="D10" s="1135" t="s">
        <v>1</v>
      </c>
      <c r="E10" s="127" t="s">
        <v>2</v>
      </c>
      <c r="F10" s="1135" t="s">
        <v>326</v>
      </c>
      <c r="G10" s="1138" t="s">
        <v>327</v>
      </c>
      <c r="H10" s="1138"/>
      <c r="I10" s="1073" t="s">
        <v>21</v>
      </c>
      <c r="J10" s="127" t="s">
        <v>3</v>
      </c>
      <c r="K10" s="222"/>
      <c r="L10" s="222"/>
      <c r="M10" s="222"/>
    </row>
    <row r="11" spans="1:13" ht="45" x14ac:dyDescent="0.25">
      <c r="A11" s="1074"/>
      <c r="B11" s="1136"/>
      <c r="C11" s="1136"/>
      <c r="D11" s="1136"/>
      <c r="E11" s="129" t="s">
        <v>4</v>
      </c>
      <c r="F11" s="1136"/>
      <c r="G11" s="209" t="s">
        <v>328</v>
      </c>
      <c r="H11" s="209" t="s">
        <v>45</v>
      </c>
      <c r="I11" s="1074"/>
      <c r="J11" s="129" t="s">
        <v>6</v>
      </c>
      <c r="K11" s="222"/>
      <c r="L11" s="222"/>
      <c r="M11" s="222"/>
    </row>
    <row r="12" spans="1:13" x14ac:dyDescent="0.25">
      <c r="A12" s="1074"/>
      <c r="B12" s="1136"/>
      <c r="C12" s="1136"/>
      <c r="D12" s="1136"/>
      <c r="E12" s="129"/>
      <c r="F12" s="1136"/>
      <c r="G12" s="129" t="s">
        <v>4</v>
      </c>
      <c r="H12" s="129" t="s">
        <v>7</v>
      </c>
      <c r="I12" s="1074"/>
      <c r="J12" s="129"/>
      <c r="K12" s="222"/>
      <c r="L12" s="222"/>
      <c r="M12" s="222"/>
    </row>
    <row r="13" spans="1:13" x14ac:dyDescent="0.25">
      <c r="A13" s="1074"/>
      <c r="B13" s="1136"/>
      <c r="C13" s="1136"/>
      <c r="D13" s="1136"/>
      <c r="E13" s="129">
        <v>2017</v>
      </c>
      <c r="F13" s="1136"/>
      <c r="G13" s="129">
        <v>2018</v>
      </c>
      <c r="H13" s="129">
        <v>2018</v>
      </c>
      <c r="I13" s="1074"/>
      <c r="J13" s="129">
        <v>2019</v>
      </c>
      <c r="K13" s="222"/>
      <c r="L13" s="222"/>
      <c r="M13" s="222"/>
    </row>
    <row r="14" spans="1:13" x14ac:dyDescent="0.25">
      <c r="A14" s="305">
        <v>1</v>
      </c>
      <c r="B14" s="305">
        <v>2</v>
      </c>
      <c r="C14" s="305">
        <v>3</v>
      </c>
      <c r="D14" s="305"/>
      <c r="E14" s="305">
        <v>4</v>
      </c>
      <c r="F14" s="1137"/>
      <c r="G14" s="305">
        <v>5</v>
      </c>
      <c r="H14" s="305">
        <v>6</v>
      </c>
      <c r="I14" s="305">
        <v>7</v>
      </c>
      <c r="J14" s="305">
        <v>8</v>
      </c>
      <c r="K14" s="222"/>
      <c r="L14" s="222"/>
      <c r="M14" s="222"/>
    </row>
    <row r="15" spans="1:13" x14ac:dyDescent="0.25">
      <c r="A15" s="1139" t="s">
        <v>329</v>
      </c>
      <c r="B15" s="1141" t="s">
        <v>317</v>
      </c>
      <c r="C15" s="763" t="s">
        <v>330</v>
      </c>
      <c r="D15" s="763"/>
      <c r="E15" s="764"/>
      <c r="F15" s="764"/>
      <c r="G15" s="764"/>
      <c r="H15" s="764"/>
      <c r="I15" s="764"/>
      <c r="J15" s="765"/>
      <c r="K15" s="222"/>
      <c r="L15" s="222"/>
      <c r="M15" s="222"/>
    </row>
    <row r="16" spans="1:13" ht="30" x14ac:dyDescent="0.25">
      <c r="A16" s="1140"/>
      <c r="B16" s="1142"/>
      <c r="C16" s="766" t="s">
        <v>331</v>
      </c>
      <c r="D16" s="767" t="s">
        <v>332</v>
      </c>
      <c r="E16" s="418">
        <v>127090.39</v>
      </c>
      <c r="F16" s="418">
        <v>150000</v>
      </c>
      <c r="G16" s="418">
        <v>91900</v>
      </c>
      <c r="H16" s="768">
        <f>I16-G16</f>
        <v>123673.63</v>
      </c>
      <c r="I16" s="418">
        <v>215573.63</v>
      </c>
      <c r="J16" s="769">
        <v>450000</v>
      </c>
      <c r="K16" s="222"/>
      <c r="L16" s="222"/>
      <c r="M16" s="222"/>
    </row>
    <row r="17" spans="1:13" ht="17.25" customHeight="1" x14ac:dyDescent="0.25">
      <c r="A17" s="770"/>
      <c r="B17" s="220"/>
      <c r="C17" s="771" t="s">
        <v>333</v>
      </c>
      <c r="D17" s="767" t="s">
        <v>332</v>
      </c>
      <c r="E17" s="238">
        <v>199989</v>
      </c>
      <c r="F17" s="238">
        <v>200000</v>
      </c>
      <c r="G17" s="238">
        <v>161718.26</v>
      </c>
      <c r="H17" s="772">
        <f>I17-G17</f>
        <v>32365</v>
      </c>
      <c r="I17" s="238">
        <v>194083.26</v>
      </c>
      <c r="J17" s="773">
        <v>200000</v>
      </c>
      <c r="K17" s="222"/>
      <c r="L17" s="222"/>
      <c r="M17" s="222"/>
    </row>
    <row r="18" spans="1:13" ht="15.75" customHeight="1" x14ac:dyDescent="0.25">
      <c r="A18" s="774"/>
      <c r="B18" s="224"/>
      <c r="C18" s="235" t="s">
        <v>334</v>
      </c>
      <c r="D18" s="235"/>
      <c r="E18" s="238"/>
      <c r="F18" s="238">
        <v>85855</v>
      </c>
      <c r="G18" s="238"/>
      <c r="H18" s="775"/>
      <c r="I18" s="238"/>
      <c r="J18" s="773">
        <v>105706.8</v>
      </c>
      <c r="K18" s="222"/>
      <c r="L18" s="222"/>
      <c r="M18" s="222"/>
    </row>
    <row r="19" spans="1:13" ht="30" x14ac:dyDescent="0.25">
      <c r="A19" s="776"/>
      <c r="B19" s="777"/>
      <c r="C19" s="778" t="s">
        <v>335</v>
      </c>
      <c r="D19" s="778"/>
      <c r="E19" s="779">
        <v>18317.25</v>
      </c>
      <c r="F19" s="779">
        <v>330000</v>
      </c>
      <c r="G19" s="779"/>
      <c r="H19" s="780">
        <f>I19-G19</f>
        <v>55250</v>
      </c>
      <c r="I19" s="779">
        <v>55250</v>
      </c>
      <c r="J19" s="781">
        <v>330000</v>
      </c>
      <c r="K19" s="222"/>
      <c r="L19" s="222"/>
      <c r="M19" s="222"/>
    </row>
    <row r="20" spans="1:13" ht="15.75" thickBot="1" x14ac:dyDescent="0.3">
      <c r="A20" s="782"/>
      <c r="B20" s="783"/>
      <c r="C20" s="784" t="s">
        <v>336</v>
      </c>
      <c r="D20" s="784"/>
      <c r="E20" s="785">
        <f>SUM(E16:E19)</f>
        <v>345396.64</v>
      </c>
      <c r="F20" s="785">
        <f t="shared" ref="F20:J20" si="0">SUM(F16:F19)</f>
        <v>765855</v>
      </c>
      <c r="G20" s="785">
        <f t="shared" si="0"/>
        <v>253618.26</v>
      </c>
      <c r="H20" s="785">
        <f t="shared" si="0"/>
        <v>211288.63</v>
      </c>
      <c r="I20" s="785">
        <f t="shared" si="0"/>
        <v>464906.89</v>
      </c>
      <c r="J20" s="786">
        <f t="shared" si="0"/>
        <v>1085706.8</v>
      </c>
      <c r="K20" s="222"/>
      <c r="L20" s="222"/>
      <c r="M20" s="222"/>
    </row>
    <row r="21" spans="1:13" ht="15.75" thickTop="1" x14ac:dyDescent="0.25">
      <c r="A21" s="787"/>
      <c r="B21" s="788"/>
      <c r="C21" s="789" t="s">
        <v>26</v>
      </c>
      <c r="D21" s="789"/>
      <c r="E21" s="790"/>
      <c r="F21" s="790"/>
      <c r="G21" s="790"/>
      <c r="H21" s="791"/>
      <c r="I21" s="790"/>
      <c r="J21" s="792"/>
      <c r="K21" s="222"/>
      <c r="L21" s="222"/>
      <c r="M21" s="222"/>
    </row>
    <row r="22" spans="1:13" x14ac:dyDescent="0.25">
      <c r="A22" s="774"/>
      <c r="B22" s="224"/>
      <c r="C22" s="793" t="s">
        <v>337</v>
      </c>
      <c r="D22" s="793"/>
      <c r="E22" s="418">
        <v>264713</v>
      </c>
      <c r="F22" s="418"/>
      <c r="G22" s="418"/>
      <c r="H22" s="794">
        <f>I22-G22</f>
        <v>0</v>
      </c>
      <c r="I22" s="418"/>
      <c r="J22" s="769"/>
      <c r="K22" s="284"/>
      <c r="L22" s="222"/>
      <c r="M22" s="222"/>
    </row>
    <row r="23" spans="1:13" x14ac:dyDescent="0.25">
      <c r="A23" s="774"/>
      <c r="B23" s="224"/>
      <c r="C23" s="235" t="s">
        <v>338</v>
      </c>
      <c r="D23" s="235"/>
      <c r="E23" s="238">
        <v>777566.75</v>
      </c>
      <c r="F23" s="238">
        <v>1050000</v>
      </c>
      <c r="G23" s="238">
        <v>16200</v>
      </c>
      <c r="H23" s="772">
        <f>I23-G23</f>
        <v>771413.25</v>
      </c>
      <c r="I23" s="238">
        <v>787613.25</v>
      </c>
      <c r="J23" s="773">
        <v>1050000</v>
      </c>
      <c r="K23" s="284"/>
      <c r="L23" s="222"/>
      <c r="M23" s="222"/>
    </row>
    <row r="24" spans="1:13" ht="16.5" customHeight="1" x14ac:dyDescent="0.25">
      <c r="A24" s="774"/>
      <c r="B24" s="224"/>
      <c r="C24" s="277" t="s">
        <v>339</v>
      </c>
      <c r="D24" s="277"/>
      <c r="E24" s="238">
        <v>42320</v>
      </c>
      <c r="F24" s="238">
        <v>400000</v>
      </c>
      <c r="G24" s="238"/>
      <c r="H24" s="772">
        <f t="shared" ref="H24:H60" si="1">I24-G24</f>
        <v>4808</v>
      </c>
      <c r="I24" s="238">
        <v>4808</v>
      </c>
      <c r="J24" s="773"/>
      <c r="K24" s="284"/>
      <c r="L24" s="222"/>
      <c r="M24" s="222"/>
    </row>
    <row r="25" spans="1:13" ht="16.5" customHeight="1" x14ac:dyDescent="0.25">
      <c r="A25" s="774"/>
      <c r="B25" s="224"/>
      <c r="C25" s="277" t="s">
        <v>340</v>
      </c>
      <c r="D25" s="277"/>
      <c r="E25" s="238">
        <v>548334.99</v>
      </c>
      <c r="F25" s="238">
        <v>1450000</v>
      </c>
      <c r="G25" s="238"/>
      <c r="H25" s="772">
        <f t="shared" si="1"/>
        <v>0</v>
      </c>
      <c r="I25" s="238"/>
      <c r="J25" s="773">
        <v>50000</v>
      </c>
      <c r="K25" s="284"/>
      <c r="L25" s="222"/>
      <c r="M25" s="222"/>
    </row>
    <row r="26" spans="1:13" x14ac:dyDescent="0.25">
      <c r="A26" s="774"/>
      <c r="B26" s="223"/>
      <c r="C26" s="277" t="s">
        <v>341</v>
      </c>
      <c r="D26" s="277"/>
      <c r="E26" s="238">
        <v>1814758.34</v>
      </c>
      <c r="F26" s="795">
        <v>2000000</v>
      </c>
      <c r="G26" s="238"/>
      <c r="H26" s="772">
        <f t="shared" si="1"/>
        <v>1914758.34</v>
      </c>
      <c r="I26" s="238">
        <v>1914758.34</v>
      </c>
      <c r="J26" s="796">
        <v>2100000</v>
      </c>
      <c r="K26" s="797"/>
      <c r="L26" s="222"/>
      <c r="M26" s="222"/>
    </row>
    <row r="27" spans="1:13" ht="15.75" customHeight="1" x14ac:dyDescent="0.25">
      <c r="A27" s="774"/>
      <c r="B27" s="223"/>
      <c r="C27" s="283" t="s">
        <v>342</v>
      </c>
      <c r="D27" s="283"/>
      <c r="E27" s="238">
        <v>1000000</v>
      </c>
      <c r="F27" s="795">
        <v>400000</v>
      </c>
      <c r="G27" s="238"/>
      <c r="H27" s="772">
        <f t="shared" si="1"/>
        <v>0</v>
      </c>
      <c r="I27" s="238"/>
      <c r="J27" s="796"/>
      <c r="K27" s="284"/>
      <c r="L27" s="222"/>
      <c r="M27" s="222"/>
    </row>
    <row r="28" spans="1:13" x14ac:dyDescent="0.25">
      <c r="A28" s="774"/>
      <c r="B28" s="223"/>
      <c r="C28" s="277" t="s">
        <v>343</v>
      </c>
      <c r="D28" s="277"/>
      <c r="E28" s="238">
        <v>2016200</v>
      </c>
      <c r="F28" s="795">
        <v>300000</v>
      </c>
      <c r="G28" s="238"/>
      <c r="H28" s="772">
        <f t="shared" si="1"/>
        <v>0</v>
      </c>
      <c r="I28" s="238"/>
      <c r="J28" s="796">
        <v>150000</v>
      </c>
      <c r="K28" s="222"/>
      <c r="L28" s="222"/>
      <c r="M28" s="222"/>
    </row>
    <row r="29" spans="1:13" x14ac:dyDescent="0.25">
      <c r="A29" s="774"/>
      <c r="B29" s="223"/>
      <c r="C29" s="283" t="s">
        <v>344</v>
      </c>
      <c r="D29" s="283"/>
      <c r="E29" s="238">
        <v>3398504.52</v>
      </c>
      <c r="F29" s="795"/>
      <c r="G29" s="238"/>
      <c r="H29" s="772">
        <f t="shared" si="1"/>
        <v>0</v>
      </c>
      <c r="I29" s="238"/>
      <c r="J29" s="796"/>
      <c r="K29" s="222"/>
      <c r="L29" s="222"/>
      <c r="M29" s="222"/>
    </row>
    <row r="30" spans="1:13" x14ac:dyDescent="0.25">
      <c r="A30" s="774"/>
      <c r="B30" s="223"/>
      <c r="C30" s="277" t="s">
        <v>345</v>
      </c>
      <c r="D30" s="277"/>
      <c r="E30" s="238"/>
      <c r="F30" s="795">
        <v>5000000</v>
      </c>
      <c r="G30" s="238"/>
      <c r="H30" s="772">
        <f t="shared" si="1"/>
        <v>0</v>
      </c>
      <c r="I30" s="238"/>
      <c r="J30" s="796"/>
      <c r="K30" s="222"/>
      <c r="L30" s="222"/>
      <c r="M30" s="222"/>
    </row>
    <row r="31" spans="1:13" x14ac:dyDescent="0.25">
      <c r="A31" s="774"/>
      <c r="B31" s="223"/>
      <c r="C31" s="277" t="s">
        <v>346</v>
      </c>
      <c r="D31" s="277"/>
      <c r="E31" s="238"/>
      <c r="F31" s="795"/>
      <c r="G31" s="238"/>
      <c r="H31" s="772">
        <f t="shared" si="1"/>
        <v>0</v>
      </c>
      <c r="I31" s="238"/>
      <c r="J31" s="796">
        <v>200000</v>
      </c>
      <c r="K31" s="222"/>
      <c r="L31" s="222"/>
      <c r="M31" s="222"/>
    </row>
    <row r="32" spans="1:13" ht="15" customHeight="1" x14ac:dyDescent="0.25">
      <c r="A32" s="774"/>
      <c r="B32" s="223"/>
      <c r="C32" s="277" t="s">
        <v>347</v>
      </c>
      <c r="D32" s="277"/>
      <c r="E32" s="238"/>
      <c r="F32" s="795"/>
      <c r="G32" s="238"/>
      <c r="H32" s="772">
        <f t="shared" si="1"/>
        <v>0</v>
      </c>
      <c r="I32" s="238"/>
      <c r="J32" s="796">
        <v>3005656.6</v>
      </c>
      <c r="K32" s="222"/>
      <c r="L32" s="222"/>
      <c r="M32" s="222"/>
    </row>
    <row r="33" spans="1:13" ht="16.5" customHeight="1" x14ac:dyDescent="0.25">
      <c r="A33" s="774"/>
      <c r="B33" s="223"/>
      <c r="C33" s="277" t="s">
        <v>348</v>
      </c>
      <c r="D33" s="277"/>
      <c r="E33" s="238"/>
      <c r="F33" s="795"/>
      <c r="G33" s="238"/>
      <c r="H33" s="772">
        <f t="shared" si="1"/>
        <v>0</v>
      </c>
      <c r="I33" s="238"/>
      <c r="J33" s="796">
        <v>7000000</v>
      </c>
      <c r="K33" s="222"/>
      <c r="L33" s="222"/>
      <c r="M33" s="222"/>
    </row>
    <row r="34" spans="1:13" ht="17.25" customHeight="1" x14ac:dyDescent="0.25">
      <c r="A34" s="774"/>
      <c r="B34" s="223"/>
      <c r="C34" s="277" t="s">
        <v>349</v>
      </c>
      <c r="D34" s="277"/>
      <c r="E34" s="238"/>
      <c r="F34" s="795"/>
      <c r="G34" s="238"/>
      <c r="H34" s="772">
        <f t="shared" si="1"/>
        <v>0</v>
      </c>
      <c r="I34" s="238"/>
      <c r="J34" s="796">
        <v>800000</v>
      </c>
      <c r="K34" s="222"/>
      <c r="L34" s="222"/>
      <c r="M34" s="222"/>
    </row>
    <row r="35" spans="1:13" ht="15" customHeight="1" x14ac:dyDescent="0.25">
      <c r="A35" s="774"/>
      <c r="B35" s="223"/>
      <c r="C35" s="277" t="s">
        <v>350</v>
      </c>
      <c r="D35" s="277"/>
      <c r="E35" s="238"/>
      <c r="F35" s="795"/>
      <c r="G35" s="238"/>
      <c r="H35" s="772">
        <f t="shared" si="1"/>
        <v>0</v>
      </c>
      <c r="I35" s="238"/>
      <c r="J35" s="796">
        <v>350000</v>
      </c>
      <c r="K35" s="222"/>
      <c r="L35" s="222"/>
      <c r="M35" s="222"/>
    </row>
    <row r="36" spans="1:13" ht="16.5" customHeight="1" x14ac:dyDescent="0.25">
      <c r="A36" s="774"/>
      <c r="B36" s="223"/>
      <c r="C36" s="235" t="s">
        <v>351</v>
      </c>
      <c r="D36" s="235"/>
      <c r="E36" s="238"/>
      <c r="F36" s="795">
        <v>202270.36</v>
      </c>
      <c r="G36" s="238"/>
      <c r="H36" s="772">
        <f t="shared" si="1"/>
        <v>0</v>
      </c>
      <c r="I36" s="238"/>
      <c r="J36" s="796">
        <v>350000</v>
      </c>
      <c r="K36" s="222"/>
      <c r="L36" s="222"/>
      <c r="M36" s="222"/>
    </row>
    <row r="37" spans="1:13" ht="16.5" customHeight="1" x14ac:dyDescent="0.25">
      <c r="A37" s="774"/>
      <c r="B37" s="223"/>
      <c r="C37" s="277" t="s">
        <v>352</v>
      </c>
      <c r="D37" s="277"/>
      <c r="E37" s="238"/>
      <c r="F37" s="795"/>
      <c r="G37" s="238"/>
      <c r="H37" s="772">
        <f t="shared" si="1"/>
        <v>0</v>
      </c>
      <c r="I37" s="238"/>
      <c r="J37" s="796">
        <v>500000</v>
      </c>
      <c r="K37" s="222"/>
      <c r="L37" s="222"/>
      <c r="M37" s="222"/>
    </row>
    <row r="38" spans="1:13" ht="30" x14ac:dyDescent="0.25">
      <c r="A38" s="774"/>
      <c r="B38" s="223"/>
      <c r="C38" s="277" t="s">
        <v>353</v>
      </c>
      <c r="D38" s="277"/>
      <c r="E38" s="238"/>
      <c r="F38" s="795"/>
      <c r="G38" s="238"/>
      <c r="H38" s="772">
        <f t="shared" si="1"/>
        <v>0</v>
      </c>
      <c r="I38" s="238"/>
      <c r="J38" s="796">
        <v>500000</v>
      </c>
      <c r="K38" s="222"/>
      <c r="L38" s="222"/>
      <c r="M38" s="222"/>
    </row>
    <row r="39" spans="1:13" ht="15.75" customHeight="1" x14ac:dyDescent="0.25">
      <c r="A39" s="774"/>
      <c r="B39" s="223"/>
      <c r="C39" s="277" t="s">
        <v>354</v>
      </c>
      <c r="D39" s="277"/>
      <c r="E39" s="238"/>
      <c r="F39" s="795"/>
      <c r="G39" s="238"/>
      <c r="H39" s="772">
        <f t="shared" si="1"/>
        <v>0</v>
      </c>
      <c r="I39" s="238"/>
      <c r="J39" s="796">
        <v>700000</v>
      </c>
      <c r="K39" s="222"/>
      <c r="L39" s="222"/>
      <c r="M39" s="222"/>
    </row>
    <row r="40" spans="1:13" x14ac:dyDescent="0.25">
      <c r="A40" s="774"/>
      <c r="B40" s="223"/>
      <c r="C40" s="277" t="s">
        <v>355</v>
      </c>
      <c r="D40" s="277"/>
      <c r="E40" s="238"/>
      <c r="F40" s="795"/>
      <c r="G40" s="238"/>
      <c r="H40" s="772">
        <f t="shared" si="1"/>
        <v>0</v>
      </c>
      <c r="I40" s="238"/>
      <c r="J40" s="796">
        <v>200000</v>
      </c>
      <c r="K40" s="222"/>
      <c r="L40" s="222"/>
      <c r="M40" s="222"/>
    </row>
    <row r="41" spans="1:13" x14ac:dyDescent="0.25">
      <c r="A41" s="774"/>
      <c r="B41" s="223"/>
      <c r="C41" s="277" t="s">
        <v>356</v>
      </c>
      <c r="D41" s="277"/>
      <c r="E41" s="238"/>
      <c r="F41" s="795"/>
      <c r="G41" s="238"/>
      <c r="H41" s="772">
        <f t="shared" si="1"/>
        <v>0</v>
      </c>
      <c r="I41" s="238"/>
      <c r="J41" s="796">
        <v>100000</v>
      </c>
      <c r="K41" s="222"/>
      <c r="L41" s="222"/>
      <c r="M41" s="222"/>
    </row>
    <row r="42" spans="1:13" x14ac:dyDescent="0.25">
      <c r="A42" s="774"/>
      <c r="B42" s="223"/>
      <c r="C42" s="277" t="s">
        <v>357</v>
      </c>
      <c r="D42" s="277"/>
      <c r="E42" s="238"/>
      <c r="F42" s="795"/>
      <c r="G42" s="238"/>
      <c r="H42" s="772">
        <f t="shared" si="1"/>
        <v>0</v>
      </c>
      <c r="I42" s="238"/>
      <c r="J42" s="796">
        <v>1000000</v>
      </c>
      <c r="K42" s="222"/>
      <c r="L42" s="222"/>
      <c r="M42" s="222"/>
    </row>
    <row r="43" spans="1:13" x14ac:dyDescent="0.25">
      <c r="A43" s="774"/>
      <c r="B43" s="223"/>
      <c r="C43" s="277" t="s">
        <v>358</v>
      </c>
      <c r="D43" s="277"/>
      <c r="E43" s="238"/>
      <c r="F43" s="795"/>
      <c r="G43" s="238"/>
      <c r="H43" s="772">
        <f t="shared" si="1"/>
        <v>0</v>
      </c>
      <c r="I43" s="238"/>
      <c r="J43" s="796">
        <v>200000</v>
      </c>
      <c r="K43" s="222"/>
      <c r="L43" s="222"/>
      <c r="M43" s="222"/>
    </row>
    <row r="44" spans="1:13" ht="30" x14ac:dyDescent="0.25">
      <c r="A44" s="774"/>
      <c r="B44" s="223"/>
      <c r="C44" s="277" t="s">
        <v>359</v>
      </c>
      <c r="D44" s="277"/>
      <c r="E44" s="238"/>
      <c r="F44" s="795"/>
      <c r="G44" s="238"/>
      <c r="H44" s="772">
        <f t="shared" si="1"/>
        <v>0</v>
      </c>
      <c r="I44" s="238"/>
      <c r="J44" s="796">
        <v>300000</v>
      </c>
      <c r="K44" s="222"/>
      <c r="L44" s="222"/>
      <c r="M44" s="222"/>
    </row>
    <row r="45" spans="1:13" ht="30" x14ac:dyDescent="0.25">
      <c r="A45" s="774"/>
      <c r="B45" s="223"/>
      <c r="C45" s="277" t="s">
        <v>360</v>
      </c>
      <c r="D45" s="277"/>
      <c r="E45" s="238"/>
      <c r="F45" s="795"/>
      <c r="G45" s="238"/>
      <c r="H45" s="772">
        <f t="shared" si="1"/>
        <v>0</v>
      </c>
      <c r="I45" s="238"/>
      <c r="J45" s="796">
        <v>200000</v>
      </c>
      <c r="K45" s="222"/>
      <c r="L45" s="222"/>
      <c r="M45" s="222"/>
    </row>
    <row r="46" spans="1:13" ht="30" x14ac:dyDescent="0.25">
      <c r="A46" s="774"/>
      <c r="B46" s="223"/>
      <c r="C46" s="277" t="s">
        <v>361</v>
      </c>
      <c r="D46" s="277"/>
      <c r="E46" s="238"/>
      <c r="F46" s="795"/>
      <c r="G46" s="238"/>
      <c r="H46" s="772">
        <f t="shared" si="1"/>
        <v>0</v>
      </c>
      <c r="I46" s="238"/>
      <c r="J46" s="796">
        <v>300000</v>
      </c>
      <c r="K46" s="222"/>
      <c r="L46" s="222"/>
      <c r="M46" s="222"/>
    </row>
    <row r="47" spans="1:13" ht="30" hidden="1" x14ac:dyDescent="0.25">
      <c r="A47" s="774"/>
      <c r="B47" s="223"/>
      <c r="C47" s="277" t="s">
        <v>362</v>
      </c>
      <c r="D47" s="277"/>
      <c r="E47" s="238"/>
      <c r="F47" s="795">
        <v>0</v>
      </c>
      <c r="G47" s="238"/>
      <c r="H47" s="772">
        <f t="shared" si="1"/>
        <v>0</v>
      </c>
      <c r="I47" s="238"/>
      <c r="J47" s="796"/>
      <c r="K47" s="222"/>
      <c r="L47" s="222"/>
      <c r="M47" s="222"/>
    </row>
    <row r="48" spans="1:13" ht="30" hidden="1" x14ac:dyDescent="0.25">
      <c r="A48" s="774"/>
      <c r="B48" s="223"/>
      <c r="C48" s="277" t="s">
        <v>363</v>
      </c>
      <c r="D48" s="277"/>
      <c r="E48" s="238"/>
      <c r="F48" s="795">
        <v>0</v>
      </c>
      <c r="G48" s="238"/>
      <c r="H48" s="772">
        <f t="shared" si="1"/>
        <v>0</v>
      </c>
      <c r="I48" s="238"/>
      <c r="J48" s="796"/>
      <c r="K48" s="222"/>
      <c r="L48" s="222"/>
      <c r="M48" s="222"/>
    </row>
    <row r="49" spans="1:13" ht="30" hidden="1" x14ac:dyDescent="0.25">
      <c r="A49" s="774"/>
      <c r="B49" s="223"/>
      <c r="C49" s="277" t="s">
        <v>364</v>
      </c>
      <c r="D49" s="277"/>
      <c r="E49" s="238">
        <v>200000</v>
      </c>
      <c r="F49" s="795">
        <v>0</v>
      </c>
      <c r="G49" s="238"/>
      <c r="H49" s="772">
        <f t="shared" si="1"/>
        <v>0</v>
      </c>
      <c r="I49" s="238"/>
      <c r="J49" s="796"/>
      <c r="K49" s="222"/>
      <c r="L49" s="222"/>
      <c r="M49" s="222"/>
    </row>
    <row r="50" spans="1:13" ht="30" hidden="1" x14ac:dyDescent="0.25">
      <c r="A50" s="774"/>
      <c r="B50" s="223"/>
      <c r="C50" s="277" t="s">
        <v>365</v>
      </c>
      <c r="D50" s="277"/>
      <c r="E50" s="238">
        <v>450000</v>
      </c>
      <c r="F50" s="795">
        <v>0</v>
      </c>
      <c r="G50" s="238"/>
      <c r="H50" s="772">
        <f t="shared" si="1"/>
        <v>0</v>
      </c>
      <c r="I50" s="238"/>
      <c r="J50" s="796"/>
      <c r="K50" s="222"/>
      <c r="L50" s="222"/>
      <c r="M50" s="222"/>
    </row>
    <row r="51" spans="1:13" ht="30" hidden="1" x14ac:dyDescent="0.25">
      <c r="A51" s="774"/>
      <c r="B51" s="223"/>
      <c r="C51" s="277" t="s">
        <v>366</v>
      </c>
      <c r="D51" s="277"/>
      <c r="E51" s="238">
        <v>0</v>
      </c>
      <c r="F51" s="795">
        <v>0</v>
      </c>
      <c r="G51" s="238"/>
      <c r="H51" s="772">
        <f t="shared" si="1"/>
        <v>0</v>
      </c>
      <c r="I51" s="238"/>
      <c r="J51" s="796"/>
      <c r="K51" s="222"/>
      <c r="L51" s="222"/>
      <c r="M51" s="222"/>
    </row>
    <row r="52" spans="1:13" hidden="1" x14ac:dyDescent="0.25">
      <c r="A52" s="774"/>
      <c r="B52" s="223"/>
      <c r="C52" s="277" t="s">
        <v>367</v>
      </c>
      <c r="D52" s="277"/>
      <c r="E52" s="238">
        <v>250000</v>
      </c>
      <c r="F52" s="795">
        <v>0</v>
      </c>
      <c r="G52" s="238"/>
      <c r="H52" s="772">
        <f t="shared" si="1"/>
        <v>0</v>
      </c>
      <c r="I52" s="238"/>
      <c r="J52" s="796"/>
      <c r="K52" s="222"/>
      <c r="L52" s="222"/>
      <c r="M52" s="222"/>
    </row>
    <row r="53" spans="1:13" hidden="1" x14ac:dyDescent="0.25">
      <c r="A53" s="774"/>
      <c r="B53" s="223"/>
      <c r="C53" s="277" t="s">
        <v>368</v>
      </c>
      <c r="D53" s="277"/>
      <c r="E53" s="238"/>
      <c r="F53" s="795">
        <v>0</v>
      </c>
      <c r="G53" s="238"/>
      <c r="H53" s="772">
        <f t="shared" si="1"/>
        <v>0</v>
      </c>
      <c r="I53" s="238"/>
      <c r="J53" s="796"/>
      <c r="K53" s="222"/>
      <c r="L53" s="222"/>
      <c r="M53" s="222"/>
    </row>
    <row r="54" spans="1:13" hidden="1" x14ac:dyDescent="0.25">
      <c r="A54" s="774"/>
      <c r="B54" s="223"/>
      <c r="C54" s="277" t="s">
        <v>369</v>
      </c>
      <c r="D54" s="277"/>
      <c r="E54" s="238">
        <v>300000</v>
      </c>
      <c r="F54" s="795">
        <v>0</v>
      </c>
      <c r="G54" s="238"/>
      <c r="H54" s="772">
        <f t="shared" si="1"/>
        <v>0</v>
      </c>
      <c r="I54" s="238"/>
      <c r="J54" s="796"/>
      <c r="K54" s="222"/>
      <c r="L54" s="222"/>
      <c r="M54" s="222"/>
    </row>
    <row r="55" spans="1:13" hidden="1" x14ac:dyDescent="0.25">
      <c r="A55" s="774"/>
      <c r="B55" s="223"/>
      <c r="C55" s="277" t="s">
        <v>370</v>
      </c>
      <c r="D55" s="277"/>
      <c r="E55" s="238">
        <v>200000</v>
      </c>
      <c r="F55" s="795">
        <v>0</v>
      </c>
      <c r="G55" s="238"/>
      <c r="H55" s="772">
        <f t="shared" si="1"/>
        <v>0</v>
      </c>
      <c r="I55" s="238"/>
      <c r="J55" s="796"/>
      <c r="K55" s="222"/>
      <c r="L55" s="222"/>
      <c r="M55" s="222"/>
    </row>
    <row r="56" spans="1:13" hidden="1" x14ac:dyDescent="0.25">
      <c r="A56" s="774"/>
      <c r="B56" s="223"/>
      <c r="C56" s="277" t="s">
        <v>371</v>
      </c>
      <c r="D56" s="277"/>
      <c r="E56" s="238">
        <v>317000</v>
      </c>
      <c r="F56" s="795">
        <v>0</v>
      </c>
      <c r="G56" s="238"/>
      <c r="H56" s="772">
        <f t="shared" si="1"/>
        <v>0</v>
      </c>
      <c r="I56" s="238"/>
      <c r="J56" s="796"/>
      <c r="K56" s="222"/>
      <c r="L56" s="222"/>
      <c r="M56" s="222"/>
    </row>
    <row r="57" spans="1:13" hidden="1" x14ac:dyDescent="0.25">
      <c r="A57" s="774"/>
      <c r="B57" s="223"/>
      <c r="C57" s="277" t="s">
        <v>372</v>
      </c>
      <c r="D57" s="277"/>
      <c r="E57" s="238"/>
      <c r="F57" s="795">
        <v>0</v>
      </c>
      <c r="G57" s="238"/>
      <c r="H57" s="772">
        <f t="shared" si="1"/>
        <v>0</v>
      </c>
      <c r="I57" s="238"/>
      <c r="J57" s="796"/>
      <c r="K57" s="284"/>
      <c r="L57" s="222"/>
      <c r="M57" s="222"/>
    </row>
    <row r="58" spans="1:13" hidden="1" x14ac:dyDescent="0.25">
      <c r="A58" s="774"/>
      <c r="B58" s="223"/>
      <c r="C58" s="277" t="s">
        <v>373</v>
      </c>
      <c r="D58" s="277"/>
      <c r="E58" s="238"/>
      <c r="F58" s="795">
        <v>0</v>
      </c>
      <c r="G58" s="238"/>
      <c r="H58" s="772">
        <f t="shared" si="1"/>
        <v>0</v>
      </c>
      <c r="I58" s="238"/>
      <c r="J58" s="796"/>
      <c r="K58" s="222"/>
      <c r="L58" s="222"/>
      <c r="M58" s="222"/>
    </row>
    <row r="59" spans="1:13" ht="30.75" hidden="1" customHeight="1" x14ac:dyDescent="0.25">
      <c r="A59" s="774"/>
      <c r="B59" s="223"/>
      <c r="C59" s="235" t="s">
        <v>374</v>
      </c>
      <c r="D59" s="235"/>
      <c r="E59" s="238">
        <v>200000</v>
      </c>
      <c r="F59" s="795">
        <v>0</v>
      </c>
      <c r="G59" s="238"/>
      <c r="H59" s="772">
        <f t="shared" si="1"/>
        <v>0</v>
      </c>
      <c r="I59" s="238"/>
      <c r="J59" s="796"/>
      <c r="K59" s="222"/>
      <c r="L59" s="222"/>
      <c r="M59" s="222"/>
    </row>
    <row r="60" spans="1:13" ht="30" hidden="1" x14ac:dyDescent="0.25">
      <c r="A60" s="774"/>
      <c r="B60" s="223"/>
      <c r="C60" s="283" t="s">
        <v>375</v>
      </c>
      <c r="D60" s="283"/>
      <c r="E60" s="238"/>
      <c r="F60" s="795">
        <v>8545194</v>
      </c>
      <c r="G60" s="238"/>
      <c r="H60" s="772">
        <f t="shared" si="1"/>
        <v>0</v>
      </c>
      <c r="I60" s="238"/>
      <c r="J60" s="796"/>
      <c r="K60" s="222"/>
      <c r="L60" s="222"/>
      <c r="M60" s="222"/>
    </row>
    <row r="61" spans="1:13" ht="15.75" thickBot="1" x14ac:dyDescent="0.3">
      <c r="A61" s="798"/>
      <c r="B61" s="799"/>
      <c r="C61" s="800" t="s">
        <v>376</v>
      </c>
      <c r="D61" s="800"/>
      <c r="E61" s="801">
        <f t="shared" ref="E61:I61" si="2">SUM(E22:E60)</f>
        <v>11779397.6</v>
      </c>
      <c r="F61" s="801">
        <f t="shared" si="2"/>
        <v>19347464.359999999</v>
      </c>
      <c r="G61" s="801">
        <f t="shared" si="2"/>
        <v>16200</v>
      </c>
      <c r="H61" s="801">
        <f t="shared" si="2"/>
        <v>2690979.59</v>
      </c>
      <c r="I61" s="801">
        <f t="shared" si="2"/>
        <v>2707179.59</v>
      </c>
      <c r="J61" s="802">
        <f>SUM(J22:J60)</f>
        <v>19055656.600000001</v>
      </c>
      <c r="K61" s="284"/>
      <c r="L61" s="222"/>
      <c r="M61" s="222"/>
    </row>
    <row r="62" spans="1:13" ht="16.5" thickTop="1" thickBot="1" x14ac:dyDescent="0.3">
      <c r="A62" s="803"/>
      <c r="B62" s="803"/>
      <c r="C62" s="803" t="s">
        <v>377</v>
      </c>
      <c r="D62" s="803"/>
      <c r="E62" s="804">
        <f t="shared" ref="E62:J62" si="3">E20+E61</f>
        <v>12124794.24</v>
      </c>
      <c r="F62" s="804">
        <f t="shared" si="3"/>
        <v>20113319.359999999</v>
      </c>
      <c r="G62" s="804">
        <f t="shared" si="3"/>
        <v>269818.26</v>
      </c>
      <c r="H62" s="804">
        <f t="shared" si="3"/>
        <v>2902268.2199999997</v>
      </c>
      <c r="I62" s="804">
        <f t="shared" si="3"/>
        <v>3172086.48</v>
      </c>
      <c r="J62" s="804">
        <f t="shared" si="3"/>
        <v>20141363.400000002</v>
      </c>
      <c r="K62" s="25"/>
    </row>
    <row r="63" spans="1:13" ht="15.75" thickTop="1" x14ac:dyDescent="0.25">
      <c r="E63" s="37"/>
      <c r="F63" s="37"/>
      <c r="G63" s="37"/>
      <c r="H63" s="44"/>
      <c r="I63" s="37"/>
      <c r="J63" s="37"/>
      <c r="K63" s="25"/>
      <c r="L63" s="25"/>
      <c r="M63" s="25"/>
    </row>
    <row r="64" spans="1:13" ht="15" customHeight="1" x14ac:dyDescent="0.35">
      <c r="A64" s="119"/>
      <c r="B64" s="295" t="s">
        <v>22</v>
      </c>
      <c r="C64" s="119"/>
      <c r="D64" s="119"/>
      <c r="E64" s="295" t="s">
        <v>23</v>
      </c>
      <c r="F64" s="119"/>
      <c r="G64" s="119"/>
      <c r="H64" s="295" t="s">
        <v>24</v>
      </c>
      <c r="I64" s="119"/>
      <c r="J64" s="119"/>
      <c r="K64" s="119"/>
    </row>
    <row r="65" spans="1:11" ht="21" x14ac:dyDescent="0.35">
      <c r="A65" s="119"/>
      <c r="B65" s="36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11" s="248" customFormat="1" x14ac:dyDescent="0.25">
      <c r="A66" s="1086" t="s">
        <v>62</v>
      </c>
      <c r="B66" s="1086"/>
      <c r="C66" s="1086"/>
      <c r="D66" s="216"/>
      <c r="E66" s="1086" t="s">
        <v>51</v>
      </c>
      <c r="F66" s="1086"/>
      <c r="G66" s="1086"/>
      <c r="H66" s="1086" t="s">
        <v>117</v>
      </c>
      <c r="I66" s="1086"/>
      <c r="J66" s="1086"/>
    </row>
    <row r="67" spans="1:11" s="36" customFormat="1" x14ac:dyDescent="0.25">
      <c r="A67" s="1070" t="s">
        <v>63</v>
      </c>
      <c r="B67" s="1070"/>
      <c r="C67" s="1070"/>
      <c r="D67" s="206"/>
      <c r="E67" s="1070" t="s">
        <v>378</v>
      </c>
      <c r="F67" s="1070"/>
      <c r="G67" s="1070"/>
      <c r="H67" s="1086" t="s">
        <v>379</v>
      </c>
      <c r="I67" s="1086"/>
      <c r="J67" s="1086"/>
    </row>
  </sheetData>
  <mergeCells count="17">
    <mergeCell ref="A15:A16"/>
    <mergeCell ref="B15:B16"/>
    <mergeCell ref="A66:C66"/>
    <mergeCell ref="A3:J3"/>
    <mergeCell ref="A4:J4"/>
    <mergeCell ref="A10:A13"/>
    <mergeCell ref="B10:B13"/>
    <mergeCell ref="C10:C13"/>
    <mergeCell ref="D10:D13"/>
    <mergeCell ref="F10:F14"/>
    <mergeCell ref="G10:H10"/>
    <mergeCell ref="I10:I13"/>
    <mergeCell ref="E66:G66"/>
    <mergeCell ref="H66:J66"/>
    <mergeCell ref="A67:C67"/>
    <mergeCell ref="E67:G67"/>
    <mergeCell ref="H67:J67"/>
  </mergeCells>
  <printOptions horizontalCentered="1"/>
  <pageMargins left="0.75" right="0.69" top="0.31" bottom="0" header="0.12" footer="0"/>
  <pageSetup scale="90" fitToWidth="0" fitToHeight="0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1"/>
  <sheetViews>
    <sheetView topLeftCell="A63" zoomScaleNormal="100" workbookViewId="0">
      <selection activeCell="D85" sqref="D85"/>
    </sheetView>
  </sheetViews>
  <sheetFormatPr defaultRowHeight="15" x14ac:dyDescent="0.25"/>
  <cols>
    <col min="1" max="1" width="8.140625" style="159" customWidth="1"/>
    <col min="2" max="2" width="9.7109375" style="159" customWidth="1"/>
    <col min="3" max="3" width="41.42578125" style="159" customWidth="1"/>
    <col min="4" max="7" width="13.42578125" style="159" customWidth="1"/>
    <col min="8" max="8" width="13.5703125" style="159" customWidth="1"/>
    <col min="9" max="9" width="16.28515625" style="159" bestFit="1" customWidth="1"/>
    <col min="10" max="10" width="9.140625" style="159"/>
    <col min="11" max="11" width="14.28515625" style="159" bestFit="1" customWidth="1"/>
    <col min="12" max="12" width="9.140625" style="159"/>
    <col min="13" max="13" width="14.28515625" style="159" bestFit="1" customWidth="1"/>
    <col min="14" max="16384" width="9.140625" style="159"/>
  </cols>
  <sheetData>
    <row r="1" spans="1:11" x14ac:dyDescent="0.25">
      <c r="A1" s="159" t="s">
        <v>318</v>
      </c>
      <c r="H1" s="159" t="s">
        <v>319</v>
      </c>
    </row>
    <row r="3" spans="1:11" s="114" customFormat="1" ht="15.75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  <c r="I3" s="217"/>
      <c r="J3" s="217"/>
      <c r="K3" s="217"/>
    </row>
    <row r="4" spans="1:11" s="114" customFormat="1" ht="15.75" x14ac:dyDescent="0.25">
      <c r="A4" s="1069" t="s">
        <v>380</v>
      </c>
      <c r="B4" s="1069"/>
      <c r="C4" s="1069"/>
      <c r="D4" s="1069"/>
      <c r="E4" s="1069"/>
      <c r="F4" s="1069"/>
      <c r="G4" s="1069"/>
      <c r="H4" s="1069"/>
    </row>
    <row r="5" spans="1:11" ht="15" customHeight="1" x14ac:dyDescent="0.35">
      <c r="A5" s="218"/>
      <c r="B5" s="218"/>
      <c r="C5" s="218"/>
      <c r="D5" s="218"/>
      <c r="E5" s="218"/>
      <c r="F5" s="218"/>
      <c r="G5" s="218"/>
      <c r="H5" s="218"/>
    </row>
    <row r="6" spans="1:11" ht="16.5" customHeight="1" x14ac:dyDescent="0.25">
      <c r="A6" s="219" t="s">
        <v>381</v>
      </c>
      <c r="B6" s="205"/>
      <c r="C6" s="205"/>
      <c r="D6" s="205"/>
      <c r="E6" s="205"/>
      <c r="F6" s="205"/>
      <c r="G6" s="205"/>
      <c r="H6" s="205"/>
    </row>
    <row r="7" spans="1:11" ht="15.75" x14ac:dyDescent="0.25">
      <c r="A7" s="219" t="s">
        <v>382</v>
      </c>
      <c r="B7" s="205"/>
      <c r="C7" s="205"/>
      <c r="D7" s="205"/>
      <c r="E7" s="205"/>
      <c r="F7" s="205"/>
      <c r="G7" s="205"/>
      <c r="H7" s="205"/>
    </row>
    <row r="8" spans="1:11" ht="15.75" x14ac:dyDescent="0.25">
      <c r="A8" s="219" t="s">
        <v>383</v>
      </c>
      <c r="B8" s="205"/>
      <c r="C8" s="205"/>
      <c r="D8" s="205"/>
      <c r="E8" s="205"/>
      <c r="F8" s="205"/>
      <c r="G8" s="205"/>
      <c r="H8" s="205"/>
    </row>
    <row r="9" spans="1:11" ht="15.75" customHeight="1" x14ac:dyDescent="0.35">
      <c r="A9" s="119"/>
      <c r="B9" s="119"/>
      <c r="C9" s="119"/>
      <c r="D9" s="119"/>
      <c r="E9" s="119"/>
      <c r="F9" s="119"/>
      <c r="G9" s="119"/>
      <c r="H9" s="119"/>
    </row>
    <row r="10" spans="1:11" ht="45.75" customHeight="1" x14ac:dyDescent="0.25">
      <c r="A10" s="220" t="s">
        <v>323</v>
      </c>
      <c r="B10" s="221" t="s">
        <v>324</v>
      </c>
      <c r="C10" s="221" t="s">
        <v>325</v>
      </c>
      <c r="D10" s="221" t="s">
        <v>2</v>
      </c>
      <c r="E10" s="1143" t="s">
        <v>327</v>
      </c>
      <c r="F10" s="1143"/>
      <c r="G10" s="221"/>
      <c r="H10" s="221" t="s">
        <v>3</v>
      </c>
      <c r="I10" s="222"/>
      <c r="J10" s="222"/>
      <c r="K10" s="222"/>
    </row>
    <row r="11" spans="1:11" ht="50.25" customHeight="1" x14ac:dyDescent="0.25">
      <c r="A11" s="223"/>
      <c r="B11" s="223"/>
      <c r="C11" s="223"/>
      <c r="D11" s="223" t="s">
        <v>4</v>
      </c>
      <c r="E11" s="224" t="s">
        <v>328</v>
      </c>
      <c r="F11" s="224" t="s">
        <v>45</v>
      </c>
      <c r="G11" s="224" t="s">
        <v>21</v>
      </c>
      <c r="H11" s="223" t="s">
        <v>6</v>
      </c>
      <c r="I11" s="222"/>
      <c r="J11" s="222"/>
      <c r="K11" s="222"/>
    </row>
    <row r="12" spans="1:11" x14ac:dyDescent="0.25">
      <c r="A12" s="223"/>
      <c r="B12" s="223"/>
      <c r="C12" s="223"/>
      <c r="D12" s="223"/>
      <c r="E12" s="223" t="s">
        <v>4</v>
      </c>
      <c r="F12" s="223" t="s">
        <v>7</v>
      </c>
      <c r="G12" s="223"/>
      <c r="H12" s="223"/>
      <c r="I12" s="222"/>
      <c r="J12" s="222"/>
      <c r="K12" s="222"/>
    </row>
    <row r="13" spans="1:11" x14ac:dyDescent="0.25">
      <c r="A13" s="223"/>
      <c r="B13" s="223"/>
      <c r="C13" s="223"/>
      <c r="D13" s="223">
        <v>2017</v>
      </c>
      <c r="E13" s="223">
        <v>2018</v>
      </c>
      <c r="F13" s="223">
        <v>2018</v>
      </c>
      <c r="G13" s="223"/>
      <c r="H13" s="223">
        <v>2019</v>
      </c>
      <c r="I13" s="222"/>
      <c r="J13" s="222"/>
      <c r="K13" s="222"/>
    </row>
    <row r="14" spans="1:11" x14ac:dyDescent="0.25">
      <c r="A14" s="225">
        <v>1</v>
      </c>
      <c r="B14" s="225">
        <v>2</v>
      </c>
      <c r="C14" s="225">
        <v>3</v>
      </c>
      <c r="D14" s="225">
        <v>4</v>
      </c>
      <c r="E14" s="225">
        <v>5</v>
      </c>
      <c r="F14" s="225">
        <v>6</v>
      </c>
      <c r="G14" s="225">
        <v>7</v>
      </c>
      <c r="H14" s="225">
        <v>8</v>
      </c>
      <c r="I14" s="222"/>
      <c r="J14" s="222"/>
      <c r="K14" s="222"/>
    </row>
    <row r="15" spans="1:11" ht="29.25" customHeight="1" x14ac:dyDescent="0.25">
      <c r="A15" s="226" t="s">
        <v>384</v>
      </c>
      <c r="B15" s="227" t="s">
        <v>385</v>
      </c>
      <c r="C15" s="228" t="s">
        <v>386</v>
      </c>
      <c r="D15" s="229"/>
      <c r="E15" s="229"/>
      <c r="F15" s="229"/>
      <c r="G15" s="229"/>
      <c r="H15" s="230"/>
      <c r="I15" s="222"/>
      <c r="J15" s="222"/>
      <c r="K15" s="222"/>
    </row>
    <row r="16" spans="1:11" x14ac:dyDescent="0.25">
      <c r="A16" s="223"/>
      <c r="B16" s="231"/>
      <c r="C16" s="232" t="s">
        <v>330</v>
      </c>
      <c r="D16" s="233"/>
      <c r="E16" s="233"/>
      <c r="F16" s="233"/>
      <c r="G16" s="233"/>
      <c r="H16" s="234"/>
      <c r="I16" s="222"/>
      <c r="J16" s="222"/>
      <c r="K16" s="222"/>
    </row>
    <row r="17" spans="1:11" hidden="1" x14ac:dyDescent="0.25">
      <c r="A17" s="223"/>
      <c r="B17" s="231"/>
      <c r="C17" s="235" t="s">
        <v>387</v>
      </c>
      <c r="D17" s="236"/>
      <c r="E17" s="236"/>
      <c r="F17" s="236">
        <f>G17-E17</f>
        <v>0</v>
      </c>
      <c r="G17" s="236"/>
      <c r="H17" s="236"/>
      <c r="I17" s="222"/>
      <c r="J17" s="222"/>
      <c r="K17" s="222"/>
    </row>
    <row r="18" spans="1:11" hidden="1" x14ac:dyDescent="0.25">
      <c r="A18" s="223"/>
      <c r="B18" s="231"/>
      <c r="C18" s="237" t="s">
        <v>388</v>
      </c>
      <c r="D18" s="238">
        <v>0</v>
      </c>
      <c r="E18" s="236"/>
      <c r="F18" s="236">
        <f t="shared" ref="F18:F25" si="0">G18-E18</f>
        <v>0</v>
      </c>
      <c r="G18" s="236"/>
      <c r="H18" s="239"/>
      <c r="I18" s="222"/>
      <c r="J18" s="222"/>
      <c r="K18" s="222"/>
    </row>
    <row r="19" spans="1:11" hidden="1" x14ac:dyDescent="0.25">
      <c r="A19" s="223"/>
      <c r="B19" s="231"/>
      <c r="C19" s="237" t="s">
        <v>389</v>
      </c>
      <c r="D19" s="238">
        <v>0</v>
      </c>
      <c r="E19" s="238"/>
      <c r="F19" s="236">
        <f t="shared" si="0"/>
        <v>0</v>
      </c>
      <c r="G19" s="238"/>
      <c r="H19" s="240"/>
      <c r="I19" s="222"/>
      <c r="J19" s="222"/>
      <c r="K19" s="222"/>
    </row>
    <row r="20" spans="1:11" hidden="1" x14ac:dyDescent="0.25">
      <c r="A20" s="223"/>
      <c r="B20" s="231"/>
      <c r="C20" s="237" t="s">
        <v>390</v>
      </c>
      <c r="D20" s="238"/>
      <c r="E20" s="238"/>
      <c r="F20" s="236">
        <f t="shared" si="0"/>
        <v>21280</v>
      </c>
      <c r="G20" s="238">
        <v>21280</v>
      </c>
      <c r="H20" s="240"/>
      <c r="I20" s="222"/>
      <c r="J20" s="222"/>
      <c r="K20" s="222"/>
    </row>
    <row r="21" spans="1:11" ht="30" hidden="1" x14ac:dyDescent="0.25">
      <c r="A21" s="223"/>
      <c r="B21" s="231"/>
      <c r="C21" s="237" t="s">
        <v>391</v>
      </c>
      <c r="D21" s="238"/>
      <c r="E21" s="238"/>
      <c r="F21" s="236">
        <f t="shared" si="0"/>
        <v>0</v>
      </c>
      <c r="G21" s="238"/>
      <c r="H21" s="240"/>
      <c r="I21" s="222"/>
      <c r="J21" s="222"/>
      <c r="K21" s="222"/>
    </row>
    <row r="22" spans="1:11" x14ac:dyDescent="0.25">
      <c r="A22" s="223"/>
      <c r="B22" s="231"/>
      <c r="C22" s="237" t="s">
        <v>392</v>
      </c>
      <c r="D22" s="238"/>
      <c r="E22" s="238"/>
      <c r="F22" s="236">
        <f t="shared" si="0"/>
        <v>0</v>
      </c>
      <c r="G22" s="238"/>
      <c r="H22" s="240">
        <v>100000</v>
      </c>
      <c r="I22" s="222"/>
      <c r="J22" s="222"/>
      <c r="K22" s="222"/>
    </row>
    <row r="23" spans="1:11" ht="30" x14ac:dyDescent="0.25">
      <c r="A23" s="223"/>
      <c r="B23" s="231"/>
      <c r="C23" s="237" t="s">
        <v>393</v>
      </c>
      <c r="D23" s="238"/>
      <c r="E23" s="238"/>
      <c r="F23" s="236">
        <f t="shared" si="0"/>
        <v>0</v>
      </c>
      <c r="G23" s="238"/>
      <c r="H23" s="240">
        <v>100000</v>
      </c>
      <c r="I23" s="222"/>
      <c r="J23" s="222"/>
      <c r="K23" s="222"/>
    </row>
    <row r="24" spans="1:11" x14ac:dyDescent="0.25">
      <c r="A24" s="223"/>
      <c r="B24" s="231"/>
      <c r="C24" s="237" t="s">
        <v>394</v>
      </c>
      <c r="D24" s="238"/>
      <c r="E24" s="238"/>
      <c r="F24" s="236">
        <f t="shared" si="0"/>
        <v>0</v>
      </c>
      <c r="G24" s="238"/>
      <c r="H24" s="240">
        <v>20000</v>
      </c>
      <c r="I24" s="222"/>
      <c r="J24" s="222"/>
      <c r="K24" s="222"/>
    </row>
    <row r="25" spans="1:11" x14ac:dyDescent="0.25">
      <c r="A25" s="223"/>
      <c r="B25" s="231"/>
      <c r="C25" s="241" t="s">
        <v>395</v>
      </c>
      <c r="D25" s="242"/>
      <c r="E25" s="242"/>
      <c r="F25" s="236">
        <f t="shared" si="0"/>
        <v>0</v>
      </c>
      <c r="G25" s="242"/>
      <c r="H25" s="243">
        <v>150000</v>
      </c>
      <c r="I25" s="222"/>
      <c r="J25" s="222"/>
      <c r="K25" s="222"/>
    </row>
    <row r="26" spans="1:11" s="248" customFormat="1" ht="15.75" thickBot="1" x14ac:dyDescent="0.3">
      <c r="A26" s="244"/>
      <c r="B26" s="245"/>
      <c r="C26" s="246" t="s">
        <v>336</v>
      </c>
      <c r="D26" s="247">
        <f t="shared" ref="D26:G26" si="1">SUM(D17:D25)</f>
        <v>0</v>
      </c>
      <c r="E26" s="247">
        <f t="shared" si="1"/>
        <v>0</v>
      </c>
      <c r="F26" s="247">
        <f t="shared" si="1"/>
        <v>21280</v>
      </c>
      <c r="G26" s="247">
        <f t="shared" si="1"/>
        <v>21280</v>
      </c>
      <c r="H26" s="247">
        <f>SUM(H17:H25)</f>
        <v>370000</v>
      </c>
      <c r="I26" s="215"/>
      <c r="J26" s="215"/>
      <c r="K26" s="215"/>
    </row>
    <row r="27" spans="1:11" s="248" customFormat="1" ht="15.75" thickTop="1" x14ac:dyDescent="0.25">
      <c r="A27" s="223"/>
      <c r="B27" s="249"/>
      <c r="C27" s="250" t="s">
        <v>26</v>
      </c>
      <c r="D27" s="229"/>
      <c r="E27" s="229"/>
      <c r="F27" s="229"/>
      <c r="G27" s="229"/>
      <c r="H27" s="251"/>
      <c r="I27" s="215"/>
      <c r="J27" s="215"/>
      <c r="K27" s="215"/>
    </row>
    <row r="28" spans="1:11" ht="30" x14ac:dyDescent="0.25">
      <c r="A28" s="223"/>
      <c r="B28" s="249"/>
      <c r="C28" s="237" t="s">
        <v>396</v>
      </c>
      <c r="D28" s="238"/>
      <c r="E28" s="238"/>
      <c r="F28" s="236">
        <f t="shared" ref="F28:F29" si="2">G28-E28</f>
        <v>0</v>
      </c>
      <c r="G28" s="238"/>
      <c r="H28" s="240">
        <v>500000</v>
      </c>
      <c r="I28" s="222"/>
      <c r="J28" s="222"/>
      <c r="K28" s="222"/>
    </row>
    <row r="29" spans="1:11" x14ac:dyDescent="0.25">
      <c r="A29" s="223"/>
      <c r="B29" s="252"/>
      <c r="C29" s="241" t="s">
        <v>397</v>
      </c>
      <c r="D29" s="242"/>
      <c r="E29" s="242"/>
      <c r="F29" s="236">
        <f t="shared" si="2"/>
        <v>0</v>
      </c>
      <c r="G29" s="242"/>
      <c r="H29" s="243">
        <v>300000</v>
      </c>
      <c r="I29" s="222"/>
      <c r="J29" s="222"/>
      <c r="K29" s="222"/>
    </row>
    <row r="30" spans="1:11" ht="15.75" thickBot="1" x14ac:dyDescent="0.3">
      <c r="A30" s="244"/>
      <c r="B30" s="253"/>
      <c r="C30" s="246" t="s">
        <v>376</v>
      </c>
      <c r="D30" s="247">
        <f t="shared" ref="D30:G30" si="3">SUM(D28:D29)</f>
        <v>0</v>
      </c>
      <c r="E30" s="247">
        <f t="shared" si="3"/>
        <v>0</v>
      </c>
      <c r="F30" s="247">
        <f t="shared" si="3"/>
        <v>0</v>
      </c>
      <c r="G30" s="247">
        <f t="shared" si="3"/>
        <v>0</v>
      </c>
      <c r="H30" s="247">
        <f>SUM(H28:H29)</f>
        <v>800000</v>
      </c>
      <c r="I30" s="222"/>
      <c r="J30" s="222"/>
      <c r="K30" s="222"/>
    </row>
    <row r="31" spans="1:11" ht="22.5" customHeight="1" thickTop="1" x14ac:dyDescent="0.25">
      <c r="A31" s="223"/>
      <c r="B31" s="252"/>
      <c r="C31" s="254" t="s">
        <v>398</v>
      </c>
      <c r="D31" s="255"/>
      <c r="E31" s="255"/>
      <c r="F31" s="255"/>
      <c r="G31" s="255"/>
      <c r="H31" s="256"/>
      <c r="I31" s="222"/>
      <c r="J31" s="222"/>
      <c r="K31" s="222"/>
    </row>
    <row r="32" spans="1:11" ht="15.75" customHeight="1" x14ac:dyDescent="0.25">
      <c r="A32" s="223"/>
      <c r="B32" s="252"/>
      <c r="C32" s="257" t="s">
        <v>330</v>
      </c>
      <c r="D32" s="238"/>
      <c r="E32" s="238"/>
      <c r="F32" s="238"/>
      <c r="G32" s="238"/>
      <c r="H32" s="240"/>
      <c r="I32" s="222"/>
      <c r="J32" s="222"/>
      <c r="K32" s="222"/>
    </row>
    <row r="33" spans="1:11" ht="30" hidden="1" x14ac:dyDescent="0.25">
      <c r="A33" s="223"/>
      <c r="B33" s="252"/>
      <c r="C33" s="237" t="s">
        <v>399</v>
      </c>
      <c r="D33" s="238"/>
      <c r="E33" s="238"/>
      <c r="F33" s="236">
        <f t="shared" ref="F33:F47" si="4">G33-E33</f>
        <v>0</v>
      </c>
      <c r="G33" s="238"/>
      <c r="H33" s="240"/>
      <c r="I33" s="222"/>
      <c r="J33" s="222"/>
      <c r="K33" s="222"/>
    </row>
    <row r="34" spans="1:11" hidden="1" x14ac:dyDescent="0.25">
      <c r="A34" s="223"/>
      <c r="B34" s="252"/>
      <c r="C34" s="237" t="s">
        <v>400</v>
      </c>
      <c r="D34" s="238"/>
      <c r="E34" s="238"/>
      <c r="F34" s="236">
        <f t="shared" si="4"/>
        <v>0</v>
      </c>
      <c r="G34" s="238"/>
      <c r="H34" s="240"/>
      <c r="I34" s="222"/>
      <c r="J34" s="222"/>
      <c r="K34" s="222"/>
    </row>
    <row r="35" spans="1:11" hidden="1" x14ac:dyDescent="0.25">
      <c r="A35" s="223"/>
      <c r="B35" s="252"/>
      <c r="C35" s="237" t="s">
        <v>401</v>
      </c>
      <c r="D35" s="238">
        <v>81010</v>
      </c>
      <c r="E35" s="238"/>
      <c r="F35" s="236">
        <f t="shared" si="4"/>
        <v>73600</v>
      </c>
      <c r="G35" s="238">
        <v>73600</v>
      </c>
      <c r="H35" s="240"/>
      <c r="I35" s="222"/>
      <c r="J35" s="222"/>
      <c r="K35" s="222"/>
    </row>
    <row r="36" spans="1:11" ht="30" hidden="1" x14ac:dyDescent="0.25">
      <c r="A36" s="223"/>
      <c r="B36" s="252"/>
      <c r="C36" s="237" t="s">
        <v>402</v>
      </c>
      <c r="D36" s="238"/>
      <c r="E36" s="238"/>
      <c r="F36" s="236">
        <f t="shared" si="4"/>
        <v>0</v>
      </c>
      <c r="G36" s="238"/>
      <c r="H36" s="240"/>
      <c r="I36" s="222"/>
      <c r="J36" s="222"/>
      <c r="K36" s="222"/>
    </row>
    <row r="37" spans="1:11" hidden="1" x14ac:dyDescent="0.25">
      <c r="A37" s="223"/>
      <c r="B37" s="252"/>
      <c r="C37" s="237" t="s">
        <v>403</v>
      </c>
      <c r="D37" s="238">
        <v>676225.69</v>
      </c>
      <c r="E37" s="238"/>
      <c r="F37" s="236">
        <f t="shared" si="4"/>
        <v>1497821.25</v>
      </c>
      <c r="G37" s="238">
        <v>1497821.25</v>
      </c>
      <c r="H37" s="240"/>
      <c r="I37" s="222"/>
      <c r="J37" s="222"/>
      <c r="K37" s="222"/>
    </row>
    <row r="38" spans="1:11" hidden="1" x14ac:dyDescent="0.25">
      <c r="A38" s="223"/>
      <c r="B38" s="252"/>
      <c r="C38" s="237" t="s">
        <v>404</v>
      </c>
      <c r="D38" s="238"/>
      <c r="E38" s="238"/>
      <c r="F38" s="236">
        <f t="shared" si="4"/>
        <v>0</v>
      </c>
      <c r="G38" s="238"/>
      <c r="H38" s="240"/>
      <c r="I38" s="222"/>
      <c r="J38" s="222"/>
      <c r="K38" s="222"/>
    </row>
    <row r="39" spans="1:11" hidden="1" x14ac:dyDescent="0.25">
      <c r="A39" s="223"/>
      <c r="B39" s="252"/>
      <c r="C39" s="237" t="s">
        <v>405</v>
      </c>
      <c r="D39" s="238">
        <v>100000</v>
      </c>
      <c r="E39" s="238"/>
      <c r="F39" s="236">
        <f t="shared" si="4"/>
        <v>0</v>
      </c>
      <c r="G39" s="238"/>
      <c r="H39" s="240"/>
      <c r="I39" s="222"/>
      <c r="J39" s="222"/>
      <c r="K39" s="222"/>
    </row>
    <row r="40" spans="1:11" ht="30" x14ac:dyDescent="0.25">
      <c r="A40" s="223"/>
      <c r="B40" s="231"/>
      <c r="C40" s="237" t="s">
        <v>406</v>
      </c>
      <c r="D40" s="238"/>
      <c r="E40" s="238"/>
      <c r="F40" s="236">
        <f t="shared" si="4"/>
        <v>0</v>
      </c>
      <c r="G40" s="238"/>
      <c r="H40" s="240">
        <v>31500</v>
      </c>
      <c r="I40" s="222"/>
      <c r="J40" s="222"/>
      <c r="K40" s="222"/>
    </row>
    <row r="41" spans="1:11" x14ac:dyDescent="0.25">
      <c r="A41" s="223"/>
      <c r="B41" s="231"/>
      <c r="C41" s="237" t="s">
        <v>407</v>
      </c>
      <c r="D41" s="238"/>
      <c r="E41" s="238"/>
      <c r="F41" s="236">
        <f t="shared" si="4"/>
        <v>0</v>
      </c>
      <c r="G41" s="238"/>
      <c r="H41" s="240">
        <v>75000</v>
      </c>
      <c r="I41" s="222"/>
      <c r="J41" s="222"/>
      <c r="K41" s="222"/>
    </row>
    <row r="42" spans="1:11" ht="30" x14ac:dyDescent="0.25">
      <c r="A42" s="223"/>
      <c r="B42" s="231"/>
      <c r="C42" s="237" t="s">
        <v>408</v>
      </c>
      <c r="D42" s="238"/>
      <c r="E42" s="238"/>
      <c r="F42" s="236">
        <f t="shared" si="4"/>
        <v>0</v>
      </c>
      <c r="G42" s="238"/>
      <c r="H42" s="240">
        <v>227000</v>
      </c>
      <c r="I42" s="222"/>
      <c r="J42" s="222"/>
      <c r="K42" s="222"/>
    </row>
    <row r="43" spans="1:11" ht="30" x14ac:dyDescent="0.25">
      <c r="A43" s="223"/>
      <c r="B43" s="231"/>
      <c r="C43" s="237" t="s">
        <v>409</v>
      </c>
      <c r="D43" s="238"/>
      <c r="E43" s="238"/>
      <c r="F43" s="236">
        <f t="shared" si="4"/>
        <v>0</v>
      </c>
      <c r="G43" s="238"/>
      <c r="H43" s="240">
        <v>85000</v>
      </c>
      <c r="I43" s="222"/>
      <c r="J43" s="222"/>
      <c r="K43" s="222"/>
    </row>
    <row r="44" spans="1:11" x14ac:dyDescent="0.25">
      <c r="A44" s="223"/>
      <c r="B44" s="231"/>
      <c r="C44" s="237" t="s">
        <v>410</v>
      </c>
      <c r="D44" s="238"/>
      <c r="E44" s="238"/>
      <c r="F44" s="236">
        <f t="shared" si="4"/>
        <v>0</v>
      </c>
      <c r="G44" s="238"/>
      <c r="H44" s="240">
        <v>30000</v>
      </c>
      <c r="I44" s="222"/>
      <c r="J44" s="222"/>
      <c r="K44" s="222"/>
    </row>
    <row r="45" spans="1:11" x14ac:dyDescent="0.25">
      <c r="A45" s="223"/>
      <c r="B45" s="231"/>
      <c r="C45" s="237" t="s">
        <v>411</v>
      </c>
      <c r="D45" s="238"/>
      <c r="E45" s="238"/>
      <c r="F45" s="236">
        <f t="shared" si="4"/>
        <v>0</v>
      </c>
      <c r="G45" s="238"/>
      <c r="H45" s="240">
        <v>600000</v>
      </c>
      <c r="I45" s="222"/>
      <c r="J45" s="222"/>
      <c r="K45" s="222"/>
    </row>
    <row r="46" spans="1:11" x14ac:dyDescent="0.25">
      <c r="A46" s="223"/>
      <c r="B46" s="231"/>
      <c r="C46" s="237" t="s">
        <v>412</v>
      </c>
      <c r="D46" s="238"/>
      <c r="E46" s="238"/>
      <c r="F46" s="236">
        <f t="shared" si="4"/>
        <v>0</v>
      </c>
      <c r="G46" s="238"/>
      <c r="H46" s="240">
        <v>170000</v>
      </c>
      <c r="I46" s="222"/>
      <c r="J46" s="222"/>
      <c r="K46" s="222"/>
    </row>
    <row r="47" spans="1:11" ht="15.75" thickBot="1" x14ac:dyDescent="0.3">
      <c r="A47" s="258"/>
      <c r="B47" s="231"/>
      <c r="C47" s="259" t="s">
        <v>413</v>
      </c>
      <c r="D47" s="260"/>
      <c r="E47" s="260"/>
      <c r="F47" s="236">
        <f t="shared" si="4"/>
        <v>0</v>
      </c>
      <c r="G47" s="260"/>
      <c r="H47" s="261">
        <v>150000</v>
      </c>
      <c r="I47" s="222"/>
      <c r="J47" s="222"/>
      <c r="K47" s="222"/>
    </row>
    <row r="48" spans="1:11" ht="16.5" thickTop="1" thickBot="1" x14ac:dyDescent="0.3">
      <c r="A48" s="262"/>
      <c r="B48" s="263"/>
      <c r="C48" s="264" t="s">
        <v>336</v>
      </c>
      <c r="D48" s="265">
        <f t="shared" ref="D48:G48" si="5">SUM(D33:D47)</f>
        <v>857235.69</v>
      </c>
      <c r="E48" s="265">
        <f t="shared" si="5"/>
        <v>0</v>
      </c>
      <c r="F48" s="265">
        <f t="shared" si="5"/>
        <v>1571421.25</v>
      </c>
      <c r="G48" s="265">
        <f t="shared" si="5"/>
        <v>1571421.25</v>
      </c>
      <c r="H48" s="265">
        <f>SUM(H33:H47)</f>
        <v>1368500</v>
      </c>
      <c r="I48" s="222"/>
      <c r="J48" s="222"/>
      <c r="K48" s="222"/>
    </row>
    <row r="49" spans="1:11" ht="23.25" customHeight="1" thickTop="1" x14ac:dyDescent="0.25">
      <c r="A49" s="223"/>
      <c r="B49" s="231"/>
      <c r="C49" s="254" t="s">
        <v>414</v>
      </c>
      <c r="D49" s="266"/>
      <c r="E49" s="266"/>
      <c r="F49" s="266"/>
      <c r="G49" s="266"/>
      <c r="H49" s="267"/>
      <c r="I49" s="222"/>
      <c r="J49" s="222"/>
      <c r="K49" s="222"/>
    </row>
    <row r="50" spans="1:11" ht="15" customHeight="1" x14ac:dyDescent="0.25">
      <c r="A50" s="223"/>
      <c r="B50" s="231"/>
      <c r="C50" s="257" t="s">
        <v>330</v>
      </c>
      <c r="D50" s="236"/>
      <c r="E50" s="236"/>
      <c r="F50" s="236"/>
      <c r="G50" s="236"/>
      <c r="H50" s="268"/>
      <c r="I50" s="222"/>
      <c r="J50" s="222"/>
      <c r="K50" s="222"/>
    </row>
    <row r="51" spans="1:11" x14ac:dyDescent="0.25">
      <c r="A51" s="223"/>
      <c r="B51" s="231"/>
      <c r="C51" s="237" t="s">
        <v>415</v>
      </c>
      <c r="D51" s="238">
        <v>44782</v>
      </c>
      <c r="E51" s="238">
        <v>430766.6</v>
      </c>
      <c r="F51" s="236">
        <f t="shared" ref="F51:F55" si="6">G51-E51</f>
        <v>600122.1</v>
      </c>
      <c r="G51" s="238">
        <v>1030888.7</v>
      </c>
      <c r="H51" s="240">
        <v>896678.81</v>
      </c>
      <c r="I51" s="222"/>
      <c r="J51" s="222"/>
      <c r="K51" s="222"/>
    </row>
    <row r="52" spans="1:11" x14ac:dyDescent="0.25">
      <c r="A52" s="223"/>
      <c r="B52" s="231"/>
      <c r="C52" s="237" t="s">
        <v>416</v>
      </c>
      <c r="D52" s="238"/>
      <c r="E52" s="238"/>
      <c r="F52" s="236">
        <f t="shared" si="6"/>
        <v>0</v>
      </c>
      <c r="G52" s="238"/>
      <c r="H52" s="240">
        <v>20000</v>
      </c>
      <c r="I52" s="222"/>
      <c r="J52" s="222"/>
      <c r="K52" s="222"/>
    </row>
    <row r="53" spans="1:11" x14ac:dyDescent="0.25">
      <c r="A53" s="269"/>
      <c r="B53" s="270"/>
      <c r="C53" s="237" t="s">
        <v>417</v>
      </c>
      <c r="D53" s="238"/>
      <c r="E53" s="238"/>
      <c r="F53" s="236">
        <f t="shared" si="6"/>
        <v>0</v>
      </c>
      <c r="G53" s="238"/>
      <c r="H53" s="240">
        <v>10000</v>
      </c>
      <c r="I53" s="222"/>
      <c r="J53" s="222"/>
      <c r="K53" s="222"/>
    </row>
    <row r="54" spans="1:11" ht="30" x14ac:dyDescent="0.25">
      <c r="A54" s="269"/>
      <c r="B54" s="270"/>
      <c r="C54" s="237" t="s">
        <v>418</v>
      </c>
      <c r="D54" s="238"/>
      <c r="E54" s="257"/>
      <c r="F54" s="236">
        <f t="shared" si="6"/>
        <v>0</v>
      </c>
      <c r="G54" s="238"/>
      <c r="H54" s="240">
        <v>10000</v>
      </c>
      <c r="I54" s="222"/>
      <c r="J54" s="222"/>
      <c r="K54" s="222"/>
    </row>
    <row r="55" spans="1:11" x14ac:dyDescent="0.25">
      <c r="A55" s="269"/>
      <c r="B55" s="270"/>
      <c r="C55" s="237" t="s">
        <v>419</v>
      </c>
      <c r="D55" s="238"/>
      <c r="E55" s="238"/>
      <c r="F55" s="236">
        <f t="shared" si="6"/>
        <v>0</v>
      </c>
      <c r="G55" s="238"/>
      <c r="H55" s="240">
        <v>20000</v>
      </c>
      <c r="I55" s="222"/>
      <c r="J55" s="222"/>
      <c r="K55" s="222"/>
    </row>
    <row r="56" spans="1:11" ht="15.75" thickBot="1" x14ac:dyDescent="0.3">
      <c r="A56" s="271"/>
      <c r="B56" s="272"/>
      <c r="C56" s="273" t="s">
        <v>336</v>
      </c>
      <c r="D56" s="274">
        <f t="shared" ref="D56:G56" si="7">SUM(D51:D55)</f>
        <v>44782</v>
      </c>
      <c r="E56" s="274">
        <f t="shared" si="7"/>
        <v>430766.6</v>
      </c>
      <c r="F56" s="274">
        <f t="shared" si="7"/>
        <v>600122.1</v>
      </c>
      <c r="G56" s="274">
        <f t="shared" si="7"/>
        <v>1030888.7</v>
      </c>
      <c r="H56" s="274">
        <f>SUM(H51:H55)</f>
        <v>956678.81</v>
      </c>
      <c r="I56" s="222"/>
      <c r="J56" s="222"/>
      <c r="K56" s="222"/>
    </row>
    <row r="57" spans="1:11" ht="21" customHeight="1" thickTop="1" x14ac:dyDescent="0.25">
      <c r="A57" s="275"/>
      <c r="B57" s="231"/>
      <c r="C57" s="254" t="s">
        <v>420</v>
      </c>
      <c r="D57" s="266"/>
      <c r="E57" s="266"/>
      <c r="F57" s="266"/>
      <c r="G57" s="266"/>
      <c r="H57" s="276"/>
      <c r="I57" s="222"/>
      <c r="J57" s="222"/>
      <c r="K57" s="222"/>
    </row>
    <row r="58" spans="1:11" ht="21" customHeight="1" x14ac:dyDescent="0.25">
      <c r="A58" s="223"/>
      <c r="B58" s="231"/>
      <c r="C58" s="257" t="s">
        <v>330</v>
      </c>
      <c r="D58" s="236"/>
      <c r="E58" s="236"/>
      <c r="F58" s="236"/>
      <c r="G58" s="236"/>
      <c r="H58" s="236"/>
      <c r="I58" s="222"/>
      <c r="J58" s="222"/>
      <c r="K58" s="222"/>
    </row>
    <row r="59" spans="1:11" ht="15.75" customHeight="1" x14ac:dyDescent="0.25">
      <c r="A59" s="223"/>
      <c r="B59" s="231"/>
      <c r="C59" s="277" t="s">
        <v>421</v>
      </c>
      <c r="D59" s="236"/>
      <c r="E59" s="236"/>
      <c r="F59" s="236">
        <f t="shared" ref="F59:F61" si="8">G59-E59</f>
        <v>0</v>
      </c>
      <c r="G59" s="236"/>
      <c r="H59" s="238">
        <v>10000</v>
      </c>
      <c r="I59" s="222"/>
      <c r="J59" s="222"/>
      <c r="K59" s="222"/>
    </row>
    <row r="60" spans="1:11" ht="30" x14ac:dyDescent="0.25">
      <c r="A60" s="223"/>
      <c r="B60" s="231"/>
      <c r="C60" s="277" t="s">
        <v>422</v>
      </c>
      <c r="D60" s="236"/>
      <c r="E60" s="236"/>
      <c r="F60" s="236">
        <f t="shared" si="8"/>
        <v>0</v>
      </c>
      <c r="G60" s="236"/>
      <c r="H60" s="238">
        <v>100000</v>
      </c>
      <c r="I60" s="222"/>
      <c r="J60" s="222"/>
      <c r="K60" s="222"/>
    </row>
    <row r="61" spans="1:11" ht="21" customHeight="1" x14ac:dyDescent="0.25">
      <c r="A61" s="223"/>
      <c r="B61" s="231"/>
      <c r="C61" s="277" t="s">
        <v>423</v>
      </c>
      <c r="D61" s="236"/>
      <c r="E61" s="236"/>
      <c r="F61" s="236">
        <f t="shared" si="8"/>
        <v>0</v>
      </c>
      <c r="G61" s="236"/>
      <c r="H61" s="238">
        <v>100000</v>
      </c>
      <c r="I61" s="222"/>
      <c r="J61" s="222"/>
      <c r="K61" s="222"/>
    </row>
    <row r="62" spans="1:11" s="248" customFormat="1" ht="15" customHeight="1" thickBot="1" x14ac:dyDescent="0.3">
      <c r="A62" s="244"/>
      <c r="B62" s="245"/>
      <c r="C62" s="273" t="s">
        <v>336</v>
      </c>
      <c r="D62" s="274">
        <f t="shared" ref="D62:G62" si="9">SUM(D59:D61)</f>
        <v>0</v>
      </c>
      <c r="E62" s="274">
        <f t="shared" si="9"/>
        <v>0</v>
      </c>
      <c r="F62" s="274">
        <f t="shared" si="9"/>
        <v>0</v>
      </c>
      <c r="G62" s="274">
        <f t="shared" si="9"/>
        <v>0</v>
      </c>
      <c r="H62" s="274">
        <f>SUM(H59:H61)</f>
        <v>210000</v>
      </c>
      <c r="I62" s="215"/>
      <c r="J62" s="215"/>
      <c r="K62" s="215"/>
    </row>
    <row r="63" spans="1:11" s="248" customFormat="1" ht="15" customHeight="1" thickTop="1" thickBot="1" x14ac:dyDescent="0.3">
      <c r="A63" s="258"/>
      <c r="B63" s="278"/>
      <c r="C63" s="279" t="s">
        <v>424</v>
      </c>
      <c r="D63" s="280"/>
      <c r="E63" s="280"/>
      <c r="F63" s="280"/>
      <c r="G63" s="280"/>
      <c r="H63" s="280">
        <v>1587933.79</v>
      </c>
      <c r="I63" s="281"/>
      <c r="J63" s="282"/>
      <c r="K63" s="215"/>
    </row>
    <row r="64" spans="1:11" ht="16.5" hidden="1" thickTop="1" thickBot="1" x14ac:dyDescent="0.3">
      <c r="A64" s="223"/>
      <c r="B64" s="231"/>
      <c r="C64" s="254" t="s">
        <v>26</v>
      </c>
      <c r="D64" s="266"/>
      <c r="E64" s="266"/>
      <c r="F64" s="266"/>
      <c r="G64" s="266"/>
      <c r="H64" s="255"/>
      <c r="I64" s="222"/>
      <c r="J64" s="222"/>
      <c r="K64" s="222"/>
    </row>
    <row r="65" spans="1:13" ht="16.5" hidden="1" thickTop="1" thickBot="1" x14ac:dyDescent="0.3">
      <c r="A65" s="223"/>
      <c r="B65" s="231"/>
      <c r="C65" s="283" t="s">
        <v>425</v>
      </c>
      <c r="D65" s="238">
        <v>395500</v>
      </c>
      <c r="E65" s="238"/>
      <c r="F65" s="238"/>
      <c r="G65" s="238"/>
      <c r="H65" s="238"/>
      <c r="I65" s="222"/>
      <c r="J65" s="222"/>
      <c r="K65" s="222"/>
    </row>
    <row r="66" spans="1:13" ht="16.5" hidden="1" thickTop="1" thickBot="1" x14ac:dyDescent="0.3">
      <c r="A66" s="223"/>
      <c r="B66" s="231"/>
      <c r="C66" s="235" t="s">
        <v>426</v>
      </c>
      <c r="D66" s="238"/>
      <c r="E66" s="238"/>
      <c r="F66" s="238"/>
      <c r="G66" s="238"/>
      <c r="H66" s="238"/>
      <c r="I66" s="284"/>
      <c r="J66" s="222"/>
      <c r="K66" s="222"/>
    </row>
    <row r="67" spans="1:13" ht="16.5" hidden="1" thickTop="1" thickBot="1" x14ac:dyDescent="0.3">
      <c r="A67" s="223"/>
      <c r="B67" s="231"/>
      <c r="C67" s="237" t="s">
        <v>427</v>
      </c>
      <c r="D67" s="285"/>
      <c r="E67" s="285"/>
      <c r="F67" s="286"/>
      <c r="G67" s="286"/>
      <c r="H67" s="286"/>
      <c r="I67" s="284"/>
      <c r="J67" s="222"/>
      <c r="K67" s="222"/>
    </row>
    <row r="68" spans="1:13" ht="31.5" hidden="1" thickTop="1" thickBot="1" x14ac:dyDescent="0.3">
      <c r="A68" s="223"/>
      <c r="B68" s="231"/>
      <c r="C68" s="237" t="s">
        <v>428</v>
      </c>
      <c r="D68" s="238">
        <v>33689.25</v>
      </c>
      <c r="E68" s="238"/>
      <c r="F68" s="238"/>
      <c r="G68" s="238"/>
      <c r="H68" s="286"/>
      <c r="I68" s="222"/>
      <c r="J68" s="222"/>
      <c r="K68" s="222"/>
    </row>
    <row r="69" spans="1:13" ht="16.5" hidden="1" thickTop="1" thickBot="1" x14ac:dyDescent="0.3">
      <c r="A69" s="244"/>
      <c r="B69" s="287"/>
      <c r="C69" s="273" t="s">
        <v>376</v>
      </c>
      <c r="D69" s="274">
        <f t="shared" ref="D69:G69" si="10">SUM(D65:D68)</f>
        <v>429189.25</v>
      </c>
      <c r="E69" s="274">
        <f t="shared" si="10"/>
        <v>0</v>
      </c>
      <c r="F69" s="274">
        <f t="shared" si="10"/>
        <v>0</v>
      </c>
      <c r="G69" s="274">
        <f t="shared" si="10"/>
        <v>0</v>
      </c>
      <c r="H69" s="274">
        <f>SUM(H65:H68)</f>
        <v>0</v>
      </c>
      <c r="I69" s="284"/>
      <c r="J69" s="222"/>
      <c r="K69" s="222"/>
    </row>
    <row r="70" spans="1:13" s="248" customFormat="1" ht="16.5" thickTop="1" thickBot="1" x14ac:dyDescent="0.3">
      <c r="A70" s="262"/>
      <c r="B70" s="288"/>
      <c r="C70" s="289" t="s">
        <v>336</v>
      </c>
      <c r="D70" s="290">
        <f t="shared" ref="D70:G70" si="11">D26+D48+D56+D62+D63</f>
        <v>902017.69</v>
      </c>
      <c r="E70" s="290">
        <f t="shared" si="11"/>
        <v>430766.6</v>
      </c>
      <c r="F70" s="290">
        <f t="shared" si="11"/>
        <v>2192823.35</v>
      </c>
      <c r="G70" s="290">
        <f t="shared" si="11"/>
        <v>2623589.9500000002</v>
      </c>
      <c r="H70" s="290">
        <f>H26+H48+H56+H62+H63</f>
        <v>4493112.5999999996</v>
      </c>
      <c r="I70" s="282"/>
      <c r="J70" s="215"/>
      <c r="K70" s="215"/>
    </row>
    <row r="71" spans="1:13" s="248" customFormat="1" ht="16.5" thickTop="1" thickBot="1" x14ac:dyDescent="0.3">
      <c r="A71" s="262"/>
      <c r="B71" s="288"/>
      <c r="C71" s="291" t="s">
        <v>376</v>
      </c>
      <c r="D71" s="265">
        <f>D69+D30</f>
        <v>429189.25</v>
      </c>
      <c r="E71" s="265">
        <f t="shared" ref="E71:G71" si="12">E30</f>
        <v>0</v>
      </c>
      <c r="F71" s="265">
        <f t="shared" si="12"/>
        <v>0</v>
      </c>
      <c r="G71" s="265">
        <f t="shared" si="12"/>
        <v>0</v>
      </c>
      <c r="H71" s="265">
        <f>H30</f>
        <v>800000</v>
      </c>
      <c r="I71" s="282"/>
      <c r="J71" s="215"/>
      <c r="K71" s="215"/>
    </row>
    <row r="72" spans="1:13" ht="16.5" thickTop="1" thickBot="1" x14ac:dyDescent="0.3">
      <c r="A72" s="292"/>
      <c r="B72" s="292"/>
      <c r="C72" s="293" t="s">
        <v>377</v>
      </c>
      <c r="D72" s="294">
        <f t="shared" ref="D72:G72" si="13">D70+D71</f>
        <v>1331206.94</v>
      </c>
      <c r="E72" s="294">
        <f t="shared" si="13"/>
        <v>430766.6</v>
      </c>
      <c r="F72" s="294">
        <f t="shared" si="13"/>
        <v>2192823.35</v>
      </c>
      <c r="G72" s="294">
        <f t="shared" si="13"/>
        <v>2623589.9500000002</v>
      </c>
      <c r="H72" s="294">
        <f>H70+H71</f>
        <v>5293112.5999999996</v>
      </c>
      <c r="I72" s="37"/>
      <c r="J72" s="25"/>
    </row>
    <row r="73" spans="1:13" ht="15.75" thickTop="1" x14ac:dyDescent="0.25">
      <c r="D73" s="37"/>
      <c r="E73" s="37"/>
      <c r="F73" s="37"/>
      <c r="G73" s="37"/>
      <c r="H73" s="37"/>
      <c r="I73" s="25"/>
      <c r="M73" s="25"/>
    </row>
    <row r="74" spans="1:13" ht="21" x14ac:dyDescent="0.35">
      <c r="A74" s="119"/>
      <c r="B74" s="295" t="s">
        <v>22</v>
      </c>
      <c r="C74" s="119"/>
      <c r="D74" s="295" t="s">
        <v>23</v>
      </c>
      <c r="E74" s="119"/>
      <c r="F74" s="295" t="s">
        <v>24</v>
      </c>
      <c r="G74" s="119"/>
      <c r="H74" s="119"/>
    </row>
    <row r="75" spans="1:13" ht="21" x14ac:dyDescent="0.35">
      <c r="A75" s="119"/>
      <c r="B75" s="36"/>
      <c r="C75" s="119"/>
      <c r="D75" s="119"/>
      <c r="E75" s="119"/>
      <c r="F75" s="119"/>
      <c r="G75" s="119"/>
      <c r="H75" s="119"/>
    </row>
    <row r="76" spans="1:13" x14ac:dyDescent="0.25">
      <c r="A76" s="1086" t="s">
        <v>58</v>
      </c>
      <c r="B76" s="1086"/>
      <c r="C76" s="1086"/>
      <c r="D76" s="1086" t="s">
        <v>51</v>
      </c>
      <c r="E76" s="1086"/>
      <c r="F76" s="1086" t="s">
        <v>117</v>
      </c>
      <c r="G76" s="1086"/>
      <c r="H76" s="1086"/>
    </row>
    <row r="77" spans="1:13" x14ac:dyDescent="0.25">
      <c r="A77" s="1070" t="s">
        <v>63</v>
      </c>
      <c r="B77" s="1070"/>
      <c r="C77" s="1070"/>
      <c r="D77" s="1070" t="s">
        <v>378</v>
      </c>
      <c r="E77" s="1070"/>
      <c r="F77" s="1086" t="s">
        <v>379</v>
      </c>
      <c r="G77" s="1086"/>
      <c r="H77" s="1086"/>
    </row>
    <row r="80" spans="1:13" x14ac:dyDescent="0.25">
      <c r="D80" s="37"/>
    </row>
    <row r="81" spans="4:7" x14ac:dyDescent="0.25">
      <c r="D81" s="25"/>
      <c r="E81" s="25"/>
      <c r="F81" s="25"/>
      <c r="G81" s="25"/>
    </row>
  </sheetData>
  <sheetProtection algorithmName="SHA-512" hashValue="Y29xHQ2SvqIgfbL81J7j+QJPzPBs4Vo3pWDfXkBKiJUQ/5NDkSh/EQsgAi6il8f9Fe9sWtoKGN/8I9mKWENrSw==" saltValue="vaFx/kU+7fslm+Ffs4SlYQ==" spinCount="100000" sheet="1" objects="1" scenarios="1" selectLockedCells="1" selectUnlockedCells="1"/>
  <mergeCells count="9">
    <mergeCell ref="A77:C77"/>
    <mergeCell ref="D77:E77"/>
    <mergeCell ref="F77:H77"/>
    <mergeCell ref="A3:H3"/>
    <mergeCell ref="A4:H4"/>
    <mergeCell ref="E10:F10"/>
    <mergeCell ref="A76:C76"/>
    <mergeCell ref="D76:E76"/>
    <mergeCell ref="F76:H76"/>
  </mergeCells>
  <printOptions horizontalCentered="1"/>
  <pageMargins left="0.37" right="0.4" top="0.75" bottom="0.84" header="0" footer="0"/>
  <pageSetup scale="7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63"/>
  <sheetViews>
    <sheetView topLeftCell="A33" zoomScaleNormal="100" workbookViewId="0">
      <selection activeCell="D59" sqref="D59"/>
    </sheetView>
  </sheetViews>
  <sheetFormatPr defaultRowHeight="15" x14ac:dyDescent="0.25"/>
  <cols>
    <col min="1" max="1" width="9" style="159" customWidth="1"/>
    <col min="2" max="2" width="6.5703125" style="159" customWidth="1"/>
    <col min="3" max="3" width="2.140625" style="159" customWidth="1"/>
    <col min="4" max="4" width="42.7109375" style="159" bestFit="1" customWidth="1"/>
    <col min="5" max="5" width="13.42578125" style="296" customWidth="1"/>
    <col min="6" max="6" width="13.7109375" style="159" customWidth="1"/>
    <col min="7" max="7" width="13.7109375" style="159" hidden="1" customWidth="1"/>
    <col min="8" max="8" width="13.28515625" style="159" customWidth="1"/>
    <col min="9" max="9" width="14.7109375" style="159" customWidth="1"/>
    <col min="10" max="10" width="13.28515625" style="159" customWidth="1"/>
    <col min="11" max="11" width="14.140625" style="159" customWidth="1"/>
    <col min="12" max="12" width="13.85546875" style="159" bestFit="1" customWidth="1"/>
    <col min="13" max="13" width="9.140625" style="159"/>
    <col min="14" max="14" width="14.28515625" style="159" bestFit="1" customWidth="1"/>
    <col min="15" max="15" width="9.140625" style="159"/>
    <col min="16" max="16" width="14.28515625" style="159" bestFit="1" customWidth="1"/>
    <col min="17" max="16384" width="9.140625" style="159"/>
  </cols>
  <sheetData>
    <row r="1" spans="1:14" x14ac:dyDescent="0.25">
      <c r="A1" s="159" t="s">
        <v>318</v>
      </c>
      <c r="K1" s="159" t="s">
        <v>319</v>
      </c>
    </row>
    <row r="3" spans="1:14" s="114" customFormat="1" ht="15" customHeight="1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217"/>
      <c r="M3" s="217"/>
      <c r="N3" s="217"/>
    </row>
    <row r="4" spans="1:14" s="114" customFormat="1" ht="15" customHeight="1" x14ac:dyDescent="0.25">
      <c r="A4" s="1069" t="s">
        <v>380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</row>
    <row r="5" spans="1:14" s="114" customFormat="1" ht="15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4" s="114" customFormat="1" ht="15" customHeight="1" x14ac:dyDescent="0.25">
      <c r="A6" s="116" t="s">
        <v>429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4" s="114" customFormat="1" ht="15.75" x14ac:dyDescent="0.25">
      <c r="A7" s="114" t="s">
        <v>430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4" s="114" customFormat="1" ht="15.75" x14ac:dyDescent="0.25">
      <c r="A8" s="114" t="s">
        <v>431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4" ht="21" x14ac:dyDescent="0.35">
      <c r="A9" s="119"/>
      <c r="B9" s="119"/>
      <c r="C9" s="119"/>
      <c r="D9" s="119"/>
      <c r="E9" s="297"/>
      <c r="F9" s="119"/>
      <c r="G9" s="119"/>
      <c r="H9" s="119"/>
      <c r="I9" s="119"/>
      <c r="J9" s="119"/>
      <c r="K9" s="119"/>
    </row>
    <row r="10" spans="1:14" ht="45" x14ac:dyDescent="0.25">
      <c r="A10" s="209" t="s">
        <v>323</v>
      </c>
      <c r="B10" s="298" t="s">
        <v>324</v>
      </c>
      <c r="C10" s="1135" t="s">
        <v>325</v>
      </c>
      <c r="D10" s="1135"/>
      <c r="E10" s="127" t="s">
        <v>1</v>
      </c>
      <c r="F10" s="127" t="s">
        <v>2</v>
      </c>
      <c r="G10" s="127"/>
      <c r="H10" s="1138" t="s">
        <v>327</v>
      </c>
      <c r="I10" s="1138"/>
      <c r="J10" s="127"/>
      <c r="K10" s="127" t="s">
        <v>3</v>
      </c>
      <c r="L10" s="222"/>
      <c r="M10" s="222"/>
      <c r="N10" s="222"/>
    </row>
    <row r="11" spans="1:14" ht="50.25" customHeight="1" x14ac:dyDescent="0.25">
      <c r="A11" s="221"/>
      <c r="B11" s="299"/>
      <c r="C11" s="1136"/>
      <c r="D11" s="1136"/>
      <c r="E11" s="129"/>
      <c r="F11" s="129" t="s">
        <v>4</v>
      </c>
      <c r="G11" s="129" t="s">
        <v>326</v>
      </c>
      <c r="H11" s="209" t="s">
        <v>328</v>
      </c>
      <c r="I11" s="209" t="s">
        <v>45</v>
      </c>
      <c r="J11" s="210" t="s">
        <v>21</v>
      </c>
      <c r="K11" s="129" t="s">
        <v>6</v>
      </c>
      <c r="L11" s="222"/>
      <c r="M11" s="222"/>
      <c r="N11" s="222"/>
    </row>
    <row r="12" spans="1:14" x14ac:dyDescent="0.25">
      <c r="A12" s="223"/>
      <c r="B12" s="300"/>
      <c r="C12" s="1136"/>
      <c r="D12" s="1136"/>
      <c r="E12" s="129"/>
      <c r="F12" s="129"/>
      <c r="G12" s="129"/>
      <c r="H12" s="129" t="s">
        <v>4</v>
      </c>
      <c r="I12" s="129" t="s">
        <v>7</v>
      </c>
      <c r="J12" s="129"/>
      <c r="K12" s="129"/>
      <c r="L12" s="222"/>
      <c r="M12" s="222"/>
      <c r="N12" s="222"/>
    </row>
    <row r="13" spans="1:14" x14ac:dyDescent="0.25">
      <c r="A13" s="223"/>
      <c r="B13" s="300"/>
      <c r="C13" s="1136"/>
      <c r="D13" s="1136"/>
      <c r="E13" s="129"/>
      <c r="F13" s="129">
        <v>2017</v>
      </c>
      <c r="G13" s="129"/>
      <c r="H13" s="129">
        <v>2018</v>
      </c>
      <c r="I13" s="129">
        <v>2018</v>
      </c>
      <c r="J13" s="129"/>
      <c r="K13" s="129">
        <v>2019</v>
      </c>
      <c r="L13" s="222"/>
      <c r="M13" s="222"/>
      <c r="N13" s="222"/>
    </row>
    <row r="14" spans="1:14" x14ac:dyDescent="0.25">
      <c r="A14" s="301">
        <v>1</v>
      </c>
      <c r="B14" s="302">
        <v>2</v>
      </c>
      <c r="C14" s="303"/>
      <c r="D14" s="304">
        <v>3</v>
      </c>
      <c r="E14" s="305"/>
      <c r="F14" s="305">
        <v>4</v>
      </c>
      <c r="G14" s="305"/>
      <c r="H14" s="305">
        <v>5</v>
      </c>
      <c r="I14" s="305">
        <v>6</v>
      </c>
      <c r="J14" s="305">
        <v>7</v>
      </c>
      <c r="K14" s="305">
        <v>8</v>
      </c>
      <c r="L14" s="152"/>
      <c r="M14" s="222"/>
      <c r="N14" s="222"/>
    </row>
    <row r="15" spans="1:14" x14ac:dyDescent="0.25">
      <c r="A15" s="306" t="s">
        <v>384</v>
      </c>
      <c r="B15" s="307"/>
      <c r="C15" s="1145" t="s">
        <v>330</v>
      </c>
      <c r="D15" s="1145"/>
      <c r="E15" s="209"/>
      <c r="F15" s="308"/>
      <c r="G15" s="308"/>
      <c r="H15" s="308"/>
      <c r="I15" s="308"/>
      <c r="J15" s="308"/>
      <c r="K15" s="308"/>
      <c r="L15" s="222"/>
      <c r="M15" s="222"/>
      <c r="N15" s="222"/>
    </row>
    <row r="16" spans="1:14" ht="5.25" customHeight="1" x14ac:dyDescent="0.25">
      <c r="A16" s="226"/>
      <c r="B16" s="309"/>
      <c r="C16" s="1146"/>
      <c r="D16" s="1147"/>
      <c r="E16" s="310"/>
      <c r="F16" s="311"/>
      <c r="G16" s="311"/>
      <c r="H16" s="311"/>
      <c r="I16" s="311"/>
      <c r="J16" s="311"/>
      <c r="K16" s="311"/>
      <c r="L16" s="222"/>
      <c r="M16" s="222"/>
      <c r="N16" s="222"/>
    </row>
    <row r="17" spans="1:14" ht="15" customHeight="1" x14ac:dyDescent="0.25">
      <c r="A17" s="225"/>
      <c r="B17" s="312" t="s">
        <v>432</v>
      </c>
      <c r="C17" s="1148" t="s">
        <v>433</v>
      </c>
      <c r="D17" s="1148"/>
      <c r="E17" s="313"/>
      <c r="F17" s="314"/>
      <c r="G17" s="314"/>
      <c r="H17" s="233"/>
      <c r="I17" s="233"/>
      <c r="J17" s="233"/>
      <c r="K17" s="315"/>
      <c r="L17" s="222"/>
      <c r="M17" s="222"/>
      <c r="N17" s="222"/>
    </row>
    <row r="18" spans="1:14" x14ac:dyDescent="0.25">
      <c r="A18" s="226"/>
      <c r="B18" s="316"/>
      <c r="C18" s="317"/>
      <c r="D18" s="318" t="s">
        <v>434</v>
      </c>
      <c r="E18" s="319" t="s">
        <v>96</v>
      </c>
      <c r="F18" s="198">
        <v>67420</v>
      </c>
      <c r="G18" s="198">
        <v>68000</v>
      </c>
      <c r="H18" s="320">
        <v>4720</v>
      </c>
      <c r="I18" s="320">
        <f>J18-H18</f>
        <v>57220</v>
      </c>
      <c r="J18" s="320">
        <v>61940</v>
      </c>
      <c r="K18" s="198">
        <v>68000</v>
      </c>
      <c r="L18" s="222"/>
      <c r="M18" s="222"/>
      <c r="N18" s="222"/>
    </row>
    <row r="19" spans="1:14" x14ac:dyDescent="0.25">
      <c r="A19" s="226"/>
      <c r="B19" s="316"/>
      <c r="C19" s="317"/>
      <c r="D19" s="321" t="s">
        <v>435</v>
      </c>
      <c r="E19" s="319" t="s">
        <v>92</v>
      </c>
      <c r="F19" s="198">
        <v>2320</v>
      </c>
      <c r="G19" s="198">
        <v>7200</v>
      </c>
      <c r="H19" s="320"/>
      <c r="I19" s="320">
        <f t="shared" ref="I19:I21" si="0">J19-H19</f>
        <v>2660</v>
      </c>
      <c r="J19" s="320">
        <v>2660</v>
      </c>
      <c r="K19" s="198">
        <v>7200</v>
      </c>
      <c r="L19" s="222"/>
      <c r="M19" s="222"/>
      <c r="N19" s="222"/>
    </row>
    <row r="20" spans="1:14" x14ac:dyDescent="0.25">
      <c r="A20" s="226"/>
      <c r="B20" s="316"/>
      <c r="C20" s="317"/>
      <c r="D20" s="318" t="s">
        <v>236</v>
      </c>
      <c r="E20" s="89" t="s">
        <v>94</v>
      </c>
      <c r="F20" s="198">
        <v>0</v>
      </c>
      <c r="G20" s="198">
        <v>4800</v>
      </c>
      <c r="H20" s="320"/>
      <c r="I20" s="320">
        <f t="shared" si="0"/>
        <v>4000</v>
      </c>
      <c r="J20" s="320">
        <v>4000</v>
      </c>
      <c r="K20" s="198">
        <v>4800</v>
      </c>
      <c r="L20" s="222"/>
      <c r="M20" s="222"/>
      <c r="N20" s="222"/>
    </row>
    <row r="21" spans="1:14" x14ac:dyDescent="0.25">
      <c r="A21" s="226"/>
      <c r="B21" s="316"/>
      <c r="C21" s="317"/>
      <c r="D21" s="318" t="s">
        <v>436</v>
      </c>
      <c r="E21" s="319" t="s">
        <v>97</v>
      </c>
      <c r="F21" s="198">
        <v>59460</v>
      </c>
      <c r="G21" s="198">
        <v>92800</v>
      </c>
      <c r="H21" s="320"/>
      <c r="I21" s="320">
        <f t="shared" si="0"/>
        <v>85232.28</v>
      </c>
      <c r="J21" s="320">
        <v>85232.28</v>
      </c>
      <c r="K21" s="198">
        <v>92800</v>
      </c>
      <c r="L21" s="222"/>
      <c r="M21" s="222"/>
      <c r="N21" s="222"/>
    </row>
    <row r="22" spans="1:14" s="248" customFormat="1" ht="15.75" thickBot="1" x14ac:dyDescent="0.3">
      <c r="A22" s="244"/>
      <c r="B22" s="271"/>
      <c r="C22" s="1144" t="s">
        <v>5</v>
      </c>
      <c r="D22" s="1144"/>
      <c r="E22" s="322"/>
      <c r="F22" s="323">
        <f>SUM(F18:F21)</f>
        <v>129200</v>
      </c>
      <c r="G22" s="323">
        <f>SUM(G18:G21)</f>
        <v>172800</v>
      </c>
      <c r="H22" s="323">
        <f t="shared" ref="H22:J22" si="1">SUM(H18:H21)</f>
        <v>4720</v>
      </c>
      <c r="I22" s="323">
        <f t="shared" si="1"/>
        <v>149112.28</v>
      </c>
      <c r="J22" s="323">
        <f t="shared" si="1"/>
        <v>153832.28</v>
      </c>
      <c r="K22" s="323">
        <f>SUM(K18:K21)</f>
        <v>172800</v>
      </c>
      <c r="L22" s="215"/>
      <c r="M22" s="282"/>
      <c r="N22" s="215"/>
    </row>
    <row r="23" spans="1:14" ht="15" customHeight="1" thickTop="1" x14ac:dyDescent="0.25">
      <c r="A23" s="225"/>
      <c r="B23" s="312"/>
      <c r="C23" s="324" t="s">
        <v>437</v>
      </c>
      <c r="D23" s="325"/>
      <c r="E23" s="313"/>
      <c r="F23" s="314"/>
      <c r="G23" s="314"/>
      <c r="H23" s="233"/>
      <c r="I23" s="233"/>
      <c r="J23" s="233"/>
      <c r="K23" s="315"/>
      <c r="L23" s="222"/>
      <c r="M23" s="222"/>
      <c r="N23" s="222"/>
    </row>
    <row r="24" spans="1:14" x14ac:dyDescent="0.25">
      <c r="A24" s="226"/>
      <c r="B24" s="316"/>
      <c r="C24" s="317"/>
      <c r="D24" s="318" t="s">
        <v>434</v>
      </c>
      <c r="E24" s="319" t="s">
        <v>96</v>
      </c>
      <c r="F24" s="326">
        <v>0</v>
      </c>
      <c r="G24" s="198">
        <v>52000</v>
      </c>
      <c r="H24" s="327"/>
      <c r="I24" s="311">
        <f t="shared" ref="I24:I26" si="2">J24-H24</f>
        <v>40135</v>
      </c>
      <c r="J24" s="327">
        <v>40135</v>
      </c>
      <c r="K24" s="198">
        <v>52000</v>
      </c>
      <c r="L24" s="222"/>
      <c r="M24" s="222"/>
      <c r="N24" s="222"/>
    </row>
    <row r="25" spans="1:14" x14ac:dyDescent="0.25">
      <c r="A25" s="226"/>
      <c r="B25" s="316"/>
      <c r="C25" s="317"/>
      <c r="D25" s="318" t="s">
        <v>438</v>
      </c>
      <c r="E25" s="89" t="s">
        <v>94</v>
      </c>
      <c r="F25" s="326">
        <v>45756.9</v>
      </c>
      <c r="G25" s="198">
        <v>80000</v>
      </c>
      <c r="H25" s="327"/>
      <c r="I25" s="311">
        <f t="shared" si="2"/>
        <v>55699.97</v>
      </c>
      <c r="J25" s="327">
        <v>55699.97</v>
      </c>
      <c r="K25" s="198">
        <v>80000</v>
      </c>
      <c r="L25" s="222"/>
      <c r="M25" s="222"/>
      <c r="N25" s="222"/>
    </row>
    <row r="26" spans="1:14" ht="30" x14ac:dyDescent="0.25">
      <c r="A26" s="226"/>
      <c r="B26" s="316"/>
      <c r="C26" s="328"/>
      <c r="D26" s="329" t="s">
        <v>439</v>
      </c>
      <c r="E26" s="200" t="s">
        <v>99</v>
      </c>
      <c r="F26" s="326">
        <v>38740</v>
      </c>
      <c r="G26" s="198">
        <v>80000</v>
      </c>
      <c r="H26" s="327">
        <v>19955</v>
      </c>
      <c r="I26" s="311">
        <f t="shared" si="2"/>
        <v>23838</v>
      </c>
      <c r="J26" s="327">
        <v>43793</v>
      </c>
      <c r="K26" s="198">
        <v>80000</v>
      </c>
      <c r="L26" s="222"/>
      <c r="M26" s="222"/>
      <c r="N26" s="222"/>
    </row>
    <row r="27" spans="1:14" ht="15.75" thickBot="1" x14ac:dyDescent="0.3">
      <c r="A27" s="244"/>
      <c r="B27" s="271"/>
      <c r="C27" s="1149" t="s">
        <v>5</v>
      </c>
      <c r="D27" s="1149"/>
      <c r="E27" s="330"/>
      <c r="F27" s="323">
        <f>SUM(F24:F26)</f>
        <v>84496.9</v>
      </c>
      <c r="G27" s="323">
        <f t="shared" ref="G27:J27" si="3">SUM(G24:G26)</f>
        <v>212000</v>
      </c>
      <c r="H27" s="323">
        <f>SUM(H24:H26)</f>
        <v>19955</v>
      </c>
      <c r="I27" s="323">
        <f t="shared" si="3"/>
        <v>119672.97</v>
      </c>
      <c r="J27" s="323">
        <f t="shared" si="3"/>
        <v>139627.97</v>
      </c>
      <c r="K27" s="323">
        <f>SUM(K24:K26)</f>
        <v>212000</v>
      </c>
      <c r="L27" s="222"/>
      <c r="M27" s="282"/>
      <c r="N27" s="222"/>
    </row>
    <row r="28" spans="1:14" ht="15.75" thickTop="1" x14ac:dyDescent="0.25">
      <c r="A28" s="225"/>
      <c r="B28" s="312"/>
      <c r="C28" s="324" t="s">
        <v>440</v>
      </c>
      <c r="D28" s="325"/>
      <c r="E28" s="313"/>
      <c r="F28" s="314"/>
      <c r="G28" s="314"/>
      <c r="H28" s="233"/>
      <c r="I28" s="233"/>
      <c r="J28" s="233"/>
      <c r="K28" s="331"/>
      <c r="L28" s="222"/>
      <c r="M28" s="222"/>
      <c r="N28" s="222"/>
    </row>
    <row r="29" spans="1:14" x14ac:dyDescent="0.25">
      <c r="A29" s="226"/>
      <c r="B29" s="316"/>
      <c r="C29" s="317"/>
      <c r="D29" s="318" t="s">
        <v>434</v>
      </c>
      <c r="E29" s="319" t="s">
        <v>96</v>
      </c>
      <c r="F29" s="320">
        <v>24000</v>
      </c>
      <c r="G29" s="198">
        <v>36000</v>
      </c>
      <c r="H29" s="320">
        <v>10000</v>
      </c>
      <c r="I29" s="320">
        <f t="shared" ref="I29:I30" si="4">J29-H29</f>
        <v>19000</v>
      </c>
      <c r="J29" s="320">
        <v>29000</v>
      </c>
      <c r="K29" s="198">
        <v>36000</v>
      </c>
      <c r="L29" s="222"/>
      <c r="M29" s="222"/>
      <c r="N29" s="222"/>
    </row>
    <row r="30" spans="1:14" x14ac:dyDescent="0.25">
      <c r="A30" s="226"/>
      <c r="B30" s="316"/>
      <c r="C30" s="317"/>
      <c r="D30" s="318" t="s">
        <v>441</v>
      </c>
      <c r="E30" s="89" t="s">
        <v>98</v>
      </c>
      <c r="F30" s="320"/>
      <c r="G30" s="198">
        <v>7000</v>
      </c>
      <c r="H30" s="320"/>
      <c r="I30" s="320">
        <f t="shared" si="4"/>
        <v>413.28</v>
      </c>
      <c r="J30" s="320">
        <v>413.28</v>
      </c>
      <c r="K30" s="198">
        <v>7000</v>
      </c>
      <c r="L30" s="222"/>
      <c r="M30" s="222"/>
      <c r="N30" s="222"/>
    </row>
    <row r="31" spans="1:14" x14ac:dyDescent="0.25">
      <c r="A31" s="226"/>
      <c r="B31" s="316"/>
      <c r="C31" s="317"/>
      <c r="D31" s="318" t="s">
        <v>442</v>
      </c>
      <c r="E31" s="200" t="s">
        <v>443</v>
      </c>
      <c r="F31" s="320">
        <v>4000</v>
      </c>
      <c r="G31" s="198">
        <v>7000</v>
      </c>
      <c r="H31" s="320"/>
      <c r="I31" s="320">
        <f>J31-H31</f>
        <v>0</v>
      </c>
      <c r="J31" s="320">
        <v>0</v>
      </c>
      <c r="K31" s="198">
        <v>7000</v>
      </c>
      <c r="L31" s="222"/>
      <c r="M31" s="222"/>
      <c r="N31" s="222"/>
    </row>
    <row r="32" spans="1:14" x14ac:dyDescent="0.25">
      <c r="A32" s="226"/>
      <c r="B32" s="316"/>
      <c r="C32" s="317"/>
      <c r="D32" s="318" t="s">
        <v>444</v>
      </c>
      <c r="E32" s="332" t="s">
        <v>445</v>
      </c>
      <c r="F32" s="320"/>
      <c r="G32" s="198"/>
      <c r="H32" s="320"/>
      <c r="I32" s="320"/>
      <c r="J32" s="320"/>
      <c r="K32" s="198">
        <v>30000</v>
      </c>
      <c r="L32" s="222"/>
      <c r="M32" s="222"/>
      <c r="N32" s="222"/>
    </row>
    <row r="33" spans="1:14" ht="15.75" thickBot="1" x14ac:dyDescent="0.3">
      <c r="A33" s="244"/>
      <c r="B33" s="271"/>
      <c r="C33" s="1144" t="s">
        <v>5</v>
      </c>
      <c r="D33" s="1144"/>
      <c r="E33" s="330"/>
      <c r="F33" s="333">
        <f t="shared" ref="F33:K33" si="5">SUM(F29:F32)</f>
        <v>28000</v>
      </c>
      <c r="G33" s="333">
        <f t="shared" si="5"/>
        <v>50000</v>
      </c>
      <c r="H33" s="333">
        <f t="shared" si="5"/>
        <v>10000</v>
      </c>
      <c r="I33" s="333">
        <f t="shared" si="5"/>
        <v>19413.28</v>
      </c>
      <c r="J33" s="333">
        <f t="shared" si="5"/>
        <v>29413.279999999999</v>
      </c>
      <c r="K33" s="333">
        <f t="shared" si="5"/>
        <v>80000</v>
      </c>
      <c r="L33" s="222"/>
      <c r="M33" s="222"/>
      <c r="N33" s="222"/>
    </row>
    <row r="34" spans="1:14" ht="15.75" thickTop="1" x14ac:dyDescent="0.25">
      <c r="A34" s="225"/>
      <c r="B34" s="312"/>
      <c r="C34" s="334" t="s">
        <v>446</v>
      </c>
      <c r="D34" s="335"/>
      <c r="E34" s="313"/>
      <c r="F34" s="314"/>
      <c r="G34" s="314"/>
      <c r="H34" s="314"/>
      <c r="I34" s="314"/>
      <c r="J34" s="314"/>
      <c r="K34" s="233"/>
      <c r="L34" s="222"/>
      <c r="M34" s="222"/>
      <c r="N34" s="222"/>
    </row>
    <row r="35" spans="1:14" x14ac:dyDescent="0.25">
      <c r="A35" s="226"/>
      <c r="B35" s="316"/>
      <c r="C35" s="317"/>
      <c r="D35" s="318" t="s">
        <v>447</v>
      </c>
      <c r="E35" s="319" t="s">
        <v>96</v>
      </c>
      <c r="F35" s="320">
        <v>510650</v>
      </c>
      <c r="G35" s="198">
        <v>476000</v>
      </c>
      <c r="H35" s="320">
        <v>312070</v>
      </c>
      <c r="I35" s="320">
        <f t="shared" ref="I35:I42" si="6">J35-H35</f>
        <v>195609.90000000002</v>
      </c>
      <c r="J35" s="320">
        <v>507679.9</v>
      </c>
      <c r="K35" s="198">
        <v>476000</v>
      </c>
      <c r="L35" s="222"/>
      <c r="M35" s="222"/>
      <c r="N35" s="222"/>
    </row>
    <row r="36" spans="1:14" x14ac:dyDescent="0.25">
      <c r="A36" s="226"/>
      <c r="B36" s="316"/>
      <c r="C36" s="317"/>
      <c r="D36" s="318" t="s">
        <v>448</v>
      </c>
      <c r="E36" s="96" t="s">
        <v>128</v>
      </c>
      <c r="F36" s="320">
        <v>284000</v>
      </c>
      <c r="G36" s="198">
        <v>350000</v>
      </c>
      <c r="H36" s="320">
        <v>150000</v>
      </c>
      <c r="I36" s="320">
        <f t="shared" si="6"/>
        <v>200000</v>
      </c>
      <c r="J36" s="320">
        <v>350000</v>
      </c>
      <c r="K36" s="198">
        <v>350000</v>
      </c>
      <c r="L36" s="222"/>
      <c r="M36" s="222"/>
      <c r="N36" s="222"/>
    </row>
    <row r="37" spans="1:14" x14ac:dyDescent="0.25">
      <c r="A37" s="226"/>
      <c r="B37" s="316"/>
      <c r="C37" s="317"/>
      <c r="D37" s="318" t="s">
        <v>435</v>
      </c>
      <c r="E37" s="89" t="s">
        <v>92</v>
      </c>
      <c r="F37" s="320">
        <v>155790.5</v>
      </c>
      <c r="G37" s="198">
        <v>150000</v>
      </c>
      <c r="H37" s="320">
        <v>32399.85</v>
      </c>
      <c r="I37" s="320">
        <f t="shared" si="6"/>
        <v>93040.15</v>
      </c>
      <c r="J37" s="320">
        <v>125440</v>
      </c>
      <c r="K37" s="198">
        <v>150000</v>
      </c>
      <c r="L37" s="222"/>
      <c r="M37" s="222"/>
      <c r="N37" s="222"/>
    </row>
    <row r="38" spans="1:14" x14ac:dyDescent="0.25">
      <c r="A38" s="226"/>
      <c r="B38" s="316"/>
      <c r="C38" s="317"/>
      <c r="D38" s="318" t="s">
        <v>449</v>
      </c>
      <c r="E38" s="89" t="s">
        <v>99</v>
      </c>
      <c r="F38" s="320">
        <v>12000</v>
      </c>
      <c r="G38" s="198">
        <v>12400</v>
      </c>
      <c r="H38" s="320">
        <v>0</v>
      </c>
      <c r="I38" s="320">
        <f t="shared" si="6"/>
        <v>10201.06</v>
      </c>
      <c r="J38" s="320">
        <v>10201.06</v>
      </c>
      <c r="K38" s="198">
        <v>12400</v>
      </c>
      <c r="L38" s="222"/>
      <c r="M38" s="222"/>
      <c r="N38" s="222"/>
    </row>
    <row r="39" spans="1:14" x14ac:dyDescent="0.25">
      <c r="A39" s="226"/>
      <c r="B39" s="316"/>
      <c r="C39" s="317"/>
      <c r="D39" s="318" t="s">
        <v>236</v>
      </c>
      <c r="E39" s="89" t="s">
        <v>94</v>
      </c>
      <c r="F39" s="320">
        <v>29311.3</v>
      </c>
      <c r="G39" s="198">
        <v>40000</v>
      </c>
      <c r="H39" s="320">
        <v>9731.7900000000009</v>
      </c>
      <c r="I39" s="320">
        <f t="shared" si="6"/>
        <v>24791.57</v>
      </c>
      <c r="J39" s="320">
        <v>34523.360000000001</v>
      </c>
      <c r="K39" s="198">
        <v>40000</v>
      </c>
      <c r="L39" s="222"/>
      <c r="M39" s="222"/>
      <c r="N39" s="222"/>
    </row>
    <row r="40" spans="1:14" x14ac:dyDescent="0.25">
      <c r="A40" s="226"/>
      <c r="B40" s="316"/>
      <c r="C40" s="317"/>
      <c r="D40" s="318" t="s">
        <v>450</v>
      </c>
      <c r="E40" s="89" t="s">
        <v>93</v>
      </c>
      <c r="F40" s="320">
        <v>59026</v>
      </c>
      <c r="G40" s="198">
        <v>40000</v>
      </c>
      <c r="H40" s="320"/>
      <c r="I40" s="320">
        <f t="shared" si="6"/>
        <v>19850</v>
      </c>
      <c r="J40" s="320">
        <v>19850</v>
      </c>
      <c r="K40" s="198">
        <v>40000</v>
      </c>
      <c r="L40" s="222"/>
      <c r="M40" s="222"/>
      <c r="N40" s="222"/>
    </row>
    <row r="41" spans="1:14" x14ac:dyDescent="0.25">
      <c r="A41" s="226"/>
      <c r="B41" s="316"/>
      <c r="C41" s="317"/>
      <c r="D41" s="318" t="s">
        <v>451</v>
      </c>
      <c r="E41" s="319" t="s">
        <v>97</v>
      </c>
      <c r="F41" s="320">
        <v>22473.98</v>
      </c>
      <c r="G41" s="198">
        <v>14000</v>
      </c>
      <c r="H41" s="320">
        <v>13476.19</v>
      </c>
      <c r="I41" s="320">
        <f t="shared" si="6"/>
        <v>0</v>
      </c>
      <c r="J41" s="320">
        <v>13476.19</v>
      </c>
      <c r="K41" s="198">
        <v>14000</v>
      </c>
      <c r="L41" s="222"/>
      <c r="M41" s="222"/>
      <c r="N41" s="222"/>
    </row>
    <row r="42" spans="1:14" x14ac:dyDescent="0.25">
      <c r="A42" s="226"/>
      <c r="B42" s="316"/>
      <c r="C42" s="317"/>
      <c r="D42" s="318" t="s">
        <v>452</v>
      </c>
      <c r="E42" s="336" t="s">
        <v>110</v>
      </c>
      <c r="F42" s="320">
        <v>0</v>
      </c>
      <c r="G42" s="198">
        <v>40000</v>
      </c>
      <c r="H42" s="320"/>
      <c r="I42" s="320">
        <f t="shared" si="6"/>
        <v>37986</v>
      </c>
      <c r="J42" s="320">
        <v>37986</v>
      </c>
      <c r="K42" s="198">
        <v>40000</v>
      </c>
      <c r="L42" s="222"/>
      <c r="M42" s="222"/>
      <c r="N42" s="222"/>
    </row>
    <row r="43" spans="1:14" ht="15.75" thickBot="1" x14ac:dyDescent="0.3">
      <c r="A43" s="244"/>
      <c r="B43" s="271"/>
      <c r="C43" s="1144" t="s">
        <v>5</v>
      </c>
      <c r="D43" s="1144"/>
      <c r="E43" s="330"/>
      <c r="F43" s="333">
        <f>SUM(F35:F42)</f>
        <v>1073251.78</v>
      </c>
      <c r="G43" s="333">
        <f>SUM(G35:G42)</f>
        <v>1122400</v>
      </c>
      <c r="H43" s="333">
        <f t="shared" ref="H43:J43" si="7">SUM(H35:H42)</f>
        <v>517677.82999999996</v>
      </c>
      <c r="I43" s="333">
        <f t="shared" si="7"/>
        <v>581478.68000000005</v>
      </c>
      <c r="J43" s="337">
        <f t="shared" si="7"/>
        <v>1099156.51</v>
      </c>
      <c r="K43" s="333">
        <f>SUM(K35:K42)</f>
        <v>1122400</v>
      </c>
      <c r="L43" s="222"/>
      <c r="M43" s="222"/>
      <c r="N43" s="222"/>
    </row>
    <row r="44" spans="1:14" s="248" customFormat="1" ht="16.5" thickTop="1" thickBot="1" x14ac:dyDescent="0.3">
      <c r="A44" s="258"/>
      <c r="B44" s="338"/>
      <c r="C44" s="339" t="s">
        <v>453</v>
      </c>
      <c r="D44" s="340"/>
      <c r="E44" s="341"/>
      <c r="F44" s="342"/>
      <c r="G44" s="342">
        <v>500000</v>
      </c>
      <c r="H44" s="342">
        <v>15000</v>
      </c>
      <c r="I44" s="342">
        <f>J44-H44</f>
        <v>4400</v>
      </c>
      <c r="J44" s="342">
        <v>19400</v>
      </c>
      <c r="K44" s="343">
        <v>500000</v>
      </c>
      <c r="L44" s="215"/>
      <c r="M44" s="215"/>
      <c r="N44" s="215"/>
    </row>
    <row r="45" spans="1:14" s="248" customFormat="1" ht="15.75" thickTop="1" x14ac:dyDescent="0.25">
      <c r="A45" s="223"/>
      <c r="B45" s="269"/>
      <c r="C45" s="344" t="s">
        <v>454</v>
      </c>
      <c r="D45" s="345"/>
      <c r="E45" s="346"/>
      <c r="F45" s="347"/>
      <c r="G45" s="347"/>
      <c r="H45" s="347"/>
      <c r="I45" s="347"/>
      <c r="J45" s="347"/>
      <c r="K45" s="348"/>
      <c r="L45" s="215"/>
      <c r="M45" s="215"/>
      <c r="N45" s="215"/>
    </row>
    <row r="46" spans="1:14" x14ac:dyDescent="0.25">
      <c r="A46" s="226"/>
      <c r="B46" s="316"/>
      <c r="C46" s="317"/>
      <c r="D46" s="349" t="s">
        <v>455</v>
      </c>
      <c r="E46" s="319" t="s">
        <v>96</v>
      </c>
      <c r="F46" s="320">
        <v>102120</v>
      </c>
      <c r="G46" s="350">
        <v>150000</v>
      </c>
      <c r="H46" s="320">
        <v>52040</v>
      </c>
      <c r="I46" s="311">
        <f t="shared" ref="I46:I50" si="8">J46-H46</f>
        <v>80020.78</v>
      </c>
      <c r="J46" s="320">
        <v>132060.78</v>
      </c>
      <c r="K46" s="350">
        <v>150000</v>
      </c>
      <c r="L46" s="222"/>
      <c r="M46" s="805"/>
      <c r="N46" s="222"/>
    </row>
    <row r="47" spans="1:14" x14ac:dyDescent="0.25">
      <c r="A47" s="226"/>
      <c r="B47" s="316"/>
      <c r="C47" s="317"/>
      <c r="D47" s="349" t="s">
        <v>435</v>
      </c>
      <c r="E47" s="89" t="s">
        <v>92</v>
      </c>
      <c r="F47" s="320"/>
      <c r="G47" s="350">
        <v>2748</v>
      </c>
      <c r="H47" s="320"/>
      <c r="I47" s="311"/>
      <c r="J47" s="320">
        <v>0</v>
      </c>
      <c r="K47" s="350">
        <v>2748</v>
      </c>
      <c r="L47" s="222"/>
      <c r="M47" s="805"/>
      <c r="N47" s="222"/>
    </row>
    <row r="48" spans="1:14" x14ac:dyDescent="0.25">
      <c r="A48" s="226"/>
      <c r="B48" s="316"/>
      <c r="C48" s="317"/>
      <c r="D48" s="349" t="s">
        <v>449</v>
      </c>
      <c r="E48" s="89" t="s">
        <v>99</v>
      </c>
      <c r="F48" s="320"/>
      <c r="G48" s="350">
        <v>5000</v>
      </c>
      <c r="H48" s="320"/>
      <c r="I48" s="311"/>
      <c r="J48" s="320">
        <v>0</v>
      </c>
      <c r="K48" s="350">
        <v>5000</v>
      </c>
      <c r="L48" s="222"/>
      <c r="M48" s="805"/>
      <c r="N48" s="222"/>
    </row>
    <row r="49" spans="1:16" x14ac:dyDescent="0.25">
      <c r="A49" s="226"/>
      <c r="B49" s="316"/>
      <c r="C49" s="317"/>
      <c r="D49" s="349" t="s">
        <v>236</v>
      </c>
      <c r="E49" s="89" t="s">
        <v>94</v>
      </c>
      <c r="F49" s="320">
        <v>0</v>
      </c>
      <c r="G49" s="350">
        <v>6000</v>
      </c>
      <c r="H49" s="320">
        <v>1780</v>
      </c>
      <c r="I49" s="311">
        <f t="shared" si="8"/>
        <v>0</v>
      </c>
      <c r="J49" s="320">
        <v>1780</v>
      </c>
      <c r="K49" s="350">
        <v>6000</v>
      </c>
      <c r="L49" s="222"/>
      <c r="M49" s="805"/>
      <c r="N49" s="222"/>
    </row>
    <row r="50" spans="1:16" x14ac:dyDescent="0.25">
      <c r="A50" s="226"/>
      <c r="B50" s="309"/>
      <c r="C50" s="351"/>
      <c r="D50" s="349" t="s">
        <v>451</v>
      </c>
      <c r="E50" s="319" t="s">
        <v>97</v>
      </c>
      <c r="F50" s="320">
        <v>14729.48</v>
      </c>
      <c r="G50" s="350">
        <v>50000</v>
      </c>
      <c r="H50" s="320">
        <v>30512.09</v>
      </c>
      <c r="I50" s="311">
        <f t="shared" si="8"/>
        <v>18574.88</v>
      </c>
      <c r="J50" s="320">
        <v>49086.97</v>
      </c>
      <c r="K50" s="350">
        <v>50000</v>
      </c>
      <c r="L50" s="222"/>
      <c r="M50" s="806"/>
      <c r="N50" s="222"/>
    </row>
    <row r="51" spans="1:16" x14ac:dyDescent="0.25">
      <c r="A51" s="226"/>
      <c r="B51" s="316"/>
      <c r="C51" s="317"/>
      <c r="D51" s="349" t="s">
        <v>457</v>
      </c>
      <c r="E51" s="332" t="s">
        <v>312</v>
      </c>
      <c r="F51" s="320"/>
      <c r="G51" s="352"/>
      <c r="H51" s="353"/>
      <c r="I51" s="354"/>
      <c r="J51" s="353"/>
      <c r="K51" s="352">
        <v>200000</v>
      </c>
      <c r="L51" s="222"/>
      <c r="M51" s="805"/>
      <c r="N51" s="222"/>
    </row>
    <row r="52" spans="1:16" s="248" customFormat="1" ht="15.75" thickBot="1" x14ac:dyDescent="0.3">
      <c r="A52" s="244"/>
      <c r="B52" s="355"/>
      <c r="C52" s="1144" t="s">
        <v>5</v>
      </c>
      <c r="D52" s="1144"/>
      <c r="E52" s="322"/>
      <c r="F52" s="333">
        <f>SUM(F46:F50)</f>
        <v>116849.48</v>
      </c>
      <c r="G52" s="333">
        <f>SUM(G46:G50)</f>
        <v>213748</v>
      </c>
      <c r="H52" s="333">
        <f>SUM(H46:H50)</f>
        <v>84332.09</v>
      </c>
      <c r="I52" s="333">
        <f>SUM(I46:I50)</f>
        <v>98595.66</v>
      </c>
      <c r="J52" s="333">
        <f>SUM(J46:J50)</f>
        <v>182927.75</v>
      </c>
      <c r="K52" s="333">
        <f>SUM(K46:K51)</f>
        <v>413748</v>
      </c>
      <c r="L52" s="215"/>
      <c r="M52" s="425"/>
      <c r="N52" s="215"/>
    </row>
    <row r="53" spans="1:16" s="248" customFormat="1" ht="16.5" thickTop="1" thickBot="1" x14ac:dyDescent="0.3">
      <c r="A53" s="262"/>
      <c r="B53" s="356"/>
      <c r="C53" s="1152" t="s">
        <v>336</v>
      </c>
      <c r="D53" s="1152"/>
      <c r="E53" s="357"/>
      <c r="F53" s="358">
        <f>F22+F27+F33+F43+F44+F52</f>
        <v>1431798.16</v>
      </c>
      <c r="G53" s="358">
        <f>G22+G27+G33+G43+G52+G44</f>
        <v>2270948</v>
      </c>
      <c r="H53" s="358">
        <f>H22+H27+H33+H43+H44+H52</f>
        <v>651684.91999999993</v>
      </c>
      <c r="I53" s="358">
        <f>I22+I27+I33+I43+I44+I52</f>
        <v>972672.87000000011</v>
      </c>
      <c r="J53" s="358">
        <f>J22+J27+J33+J43+J44+J52</f>
        <v>1624357.79</v>
      </c>
      <c r="K53" s="358">
        <f>K22+K27+SUM(K29:K31)+SUM(K35:K41)+K44+SUM(K46:K50)</f>
        <v>2230948</v>
      </c>
      <c r="L53" s="215"/>
      <c r="M53" s="425"/>
      <c r="N53" s="215"/>
    </row>
    <row r="54" spans="1:16" ht="16.5" thickTop="1" thickBot="1" x14ac:dyDescent="0.3">
      <c r="A54" s="262"/>
      <c r="B54" s="356"/>
      <c r="C54" s="1152" t="s">
        <v>458</v>
      </c>
      <c r="D54" s="1152"/>
      <c r="E54" s="357"/>
      <c r="F54" s="358">
        <v>0</v>
      </c>
      <c r="G54" s="358">
        <v>40000</v>
      </c>
      <c r="H54" s="358"/>
      <c r="I54" s="358">
        <v>0</v>
      </c>
      <c r="J54" s="358">
        <v>0</v>
      </c>
      <c r="K54" s="359">
        <f>K32+K42+K51</f>
        <v>270000</v>
      </c>
      <c r="L54" s="222"/>
      <c r="M54" s="222"/>
      <c r="N54" s="222"/>
    </row>
    <row r="55" spans="1:16" ht="16.5" thickTop="1" thickBot="1" x14ac:dyDescent="0.3">
      <c r="A55" s="292"/>
      <c r="B55" s="360"/>
      <c r="C55" s="1153" t="s">
        <v>377</v>
      </c>
      <c r="D55" s="1153"/>
      <c r="E55" s="361"/>
      <c r="F55" s="362">
        <f>F53+F54</f>
        <v>1431798.16</v>
      </c>
      <c r="G55" s="362">
        <f>G53+G54</f>
        <v>2310948</v>
      </c>
      <c r="H55" s="362">
        <f>H53+H54</f>
        <v>651684.91999999993</v>
      </c>
      <c r="I55" s="362">
        <f t="shared" ref="I55:J55" si="9">I53+I54</f>
        <v>972672.87000000011</v>
      </c>
      <c r="J55" s="362">
        <f t="shared" si="9"/>
        <v>1624357.79</v>
      </c>
      <c r="K55" s="362">
        <f>K53+K54</f>
        <v>2500948</v>
      </c>
      <c r="L55" s="25"/>
    </row>
    <row r="56" spans="1:16" ht="15.75" thickTop="1" x14ac:dyDescent="0.25">
      <c r="F56" s="37"/>
      <c r="G56" s="37"/>
      <c r="H56" s="37"/>
      <c r="I56" s="37"/>
      <c r="J56" s="37"/>
      <c r="K56" s="37"/>
      <c r="L56" s="25"/>
      <c r="P56" s="25"/>
    </row>
    <row r="57" spans="1:16" s="114" customFormat="1" ht="16.5" customHeight="1" x14ac:dyDescent="0.25">
      <c r="A57" s="1151" t="s">
        <v>459</v>
      </c>
      <c r="B57" s="1151"/>
      <c r="C57" s="1151"/>
      <c r="D57" s="1151"/>
      <c r="E57" s="1151"/>
      <c r="F57" s="1151"/>
      <c r="G57" s="1151"/>
      <c r="H57" s="1151"/>
      <c r="I57" s="1151"/>
      <c r="J57" s="1151"/>
      <c r="K57" s="1151"/>
      <c r="N57" s="363"/>
    </row>
    <row r="58" spans="1:16" s="114" customFormat="1" ht="15.75" x14ac:dyDescent="0.25">
      <c r="D58" s="115"/>
      <c r="E58" s="364"/>
      <c r="H58" s="115"/>
      <c r="K58" s="115"/>
    </row>
    <row r="59" spans="1:16" s="114" customFormat="1" ht="32.25" customHeight="1" x14ac:dyDescent="0.25">
      <c r="D59" s="115"/>
      <c r="E59" s="364"/>
      <c r="H59" s="115"/>
      <c r="K59" s="115"/>
    </row>
    <row r="60" spans="1:16" s="114" customFormat="1" ht="15.75" x14ac:dyDescent="0.25">
      <c r="A60" s="1150" t="s">
        <v>460</v>
      </c>
      <c r="B60" s="1150"/>
      <c r="C60" s="1150"/>
      <c r="D60" s="1150"/>
      <c r="E60" s="1150"/>
      <c r="F60" s="1150"/>
      <c r="G60" s="1150"/>
      <c r="H60" s="1150"/>
      <c r="I60" s="1150"/>
      <c r="J60" s="1150"/>
      <c r="K60" s="1150"/>
    </row>
    <row r="61" spans="1:16" s="114" customFormat="1" ht="15.75" x14ac:dyDescent="0.25">
      <c r="A61" s="1151" t="s">
        <v>461</v>
      </c>
      <c r="B61" s="1151"/>
      <c r="C61" s="1151"/>
      <c r="D61" s="1151"/>
      <c r="E61" s="1151"/>
      <c r="F61" s="1151"/>
      <c r="G61" s="1151"/>
      <c r="H61" s="1151"/>
      <c r="I61" s="1151"/>
      <c r="J61" s="1151"/>
      <c r="K61" s="1151"/>
    </row>
    <row r="62" spans="1:16" s="114" customFormat="1" ht="15.75" x14ac:dyDescent="0.25">
      <c r="E62" s="365"/>
    </row>
    <row r="63" spans="1:16" s="114" customFormat="1" ht="15.75" x14ac:dyDescent="0.25">
      <c r="E63" s="365"/>
    </row>
  </sheetData>
  <sheetProtection algorithmName="SHA-512" hashValue="zUsc0BVMiF3WXIoh6eQbIm8I7S4Vk2AT3FB0OsZu3hgZlTBt28Qj2CXPeGnXLXngarQ/IeooMQhCxwM/2VRVlQ==" saltValue="KPGi2SJ6phJRFFFuquCTmA==" spinCount="100000" sheet="1" objects="1" scenarios="1" selectLockedCells="1" selectUnlockedCells="1"/>
  <mergeCells count="20">
    <mergeCell ref="A60:K60"/>
    <mergeCell ref="A61:K61"/>
    <mergeCell ref="C43:D43"/>
    <mergeCell ref="C52:D52"/>
    <mergeCell ref="C53:D53"/>
    <mergeCell ref="C54:D54"/>
    <mergeCell ref="C55:D55"/>
    <mergeCell ref="A57:K57"/>
    <mergeCell ref="C33:D33"/>
    <mergeCell ref="A3:K3"/>
    <mergeCell ref="A4:K4"/>
    <mergeCell ref="C10:D10"/>
    <mergeCell ref="H10:I10"/>
    <mergeCell ref="C11:D11"/>
    <mergeCell ref="C12:D13"/>
    <mergeCell ref="C15:D15"/>
    <mergeCell ref="C16:D16"/>
    <mergeCell ref="C17:D17"/>
    <mergeCell ref="C22:D22"/>
    <mergeCell ref="C27:D27"/>
  </mergeCells>
  <conditionalFormatting sqref="M46:M47">
    <cfRule type="expression" dxfId="196" priority="2">
      <formula>ISNUMBER(SEARCH($A$2,M18))</formula>
    </cfRule>
  </conditionalFormatting>
  <conditionalFormatting sqref="M48">
    <cfRule type="expression" dxfId="195" priority="3">
      <formula>ISNUMBER(SEARCH($A$2,M19))</formula>
    </cfRule>
  </conditionalFormatting>
  <conditionalFormatting sqref="D46:D48 G46:G50 K46:K50">
    <cfRule type="expression" dxfId="194" priority="1">
      <formula>ISNUMBER(SEARCH($A$2,D36))</formula>
    </cfRule>
  </conditionalFormatting>
  <conditionalFormatting sqref="M49">
    <cfRule type="expression" dxfId="193" priority="4">
      <formula>ISNUMBER(SEARCH($A$2,M20))</formula>
    </cfRule>
  </conditionalFormatting>
  <conditionalFormatting sqref="D49:D50">
    <cfRule type="expression" dxfId="192" priority="5">
      <formula>ISNUMBER(SEARCH($A$2,D39))</formula>
    </cfRule>
  </conditionalFormatting>
  <conditionalFormatting sqref="M51">
    <cfRule type="expression" dxfId="191" priority="6">
      <formula>ISNUMBER(SEARCH($A$2,M20))</formula>
    </cfRule>
  </conditionalFormatting>
  <conditionalFormatting sqref="D51 G51 K51">
    <cfRule type="expression" dxfId="190" priority="7">
      <formula>ISNUMBER(SEARCH($A$2,D39))</formula>
    </cfRule>
  </conditionalFormatting>
  <printOptions horizontalCentered="1"/>
  <pageMargins left="0.79" right="0.54" top="0.75" bottom="1" header="0" footer="0"/>
  <pageSetup scale="62" orientation="portrait" r:id="rId1"/>
  <headerFooter>
    <oddHeader>&amp;R&amp;D   &amp;T</oddHead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8"/>
  <sheetViews>
    <sheetView topLeftCell="A25" zoomScale="120" zoomScaleNormal="120" zoomScaleSheetLayoutView="90" workbookViewId="0">
      <selection activeCell="D39" sqref="D39"/>
    </sheetView>
  </sheetViews>
  <sheetFormatPr defaultRowHeight="15" x14ac:dyDescent="0.25"/>
  <cols>
    <col min="1" max="1" width="12.140625" style="159" customWidth="1"/>
    <col min="2" max="2" width="9.7109375" style="159" customWidth="1"/>
    <col min="3" max="3" width="2.28515625" style="159" customWidth="1"/>
    <col min="4" max="4" width="30.7109375" style="159" customWidth="1"/>
    <col min="5" max="5" width="13.42578125" style="296" customWidth="1"/>
    <col min="6" max="6" width="13.42578125" style="159" customWidth="1"/>
    <col min="7" max="7" width="13.42578125" style="159" hidden="1" customWidth="1"/>
    <col min="8" max="11" width="13.42578125" style="159" customWidth="1"/>
    <col min="12" max="12" width="13.85546875" style="159" bestFit="1" customWidth="1"/>
    <col min="13" max="13" width="9.140625" style="159"/>
    <col min="14" max="14" width="14.28515625" style="159" bestFit="1" customWidth="1"/>
    <col min="15" max="15" width="9.140625" style="159"/>
    <col min="16" max="16" width="14.28515625" style="159" bestFit="1" customWidth="1"/>
    <col min="17" max="16384" width="9.140625" style="159"/>
  </cols>
  <sheetData>
    <row r="1" spans="1:14" x14ac:dyDescent="0.25">
      <c r="A1" s="159" t="s">
        <v>318</v>
      </c>
      <c r="K1" s="159" t="s">
        <v>319</v>
      </c>
    </row>
    <row r="3" spans="1:14" s="114" customFormat="1" ht="15.75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217"/>
      <c r="M3" s="217"/>
      <c r="N3" s="217"/>
    </row>
    <row r="4" spans="1:14" s="114" customFormat="1" ht="15.75" x14ac:dyDescent="0.25">
      <c r="A4" s="1067" t="s">
        <v>47</v>
      </c>
      <c r="B4" s="1067"/>
      <c r="C4" s="1067"/>
      <c r="D4" s="1067"/>
      <c r="E4" s="1067"/>
      <c r="F4" s="1067"/>
      <c r="G4" s="1067"/>
      <c r="H4" s="1067"/>
      <c r="I4" s="1067"/>
      <c r="J4" s="1067"/>
      <c r="K4" s="1067"/>
    </row>
    <row r="5" spans="1:14" s="114" customFormat="1" ht="15.75" x14ac:dyDescent="0.25">
      <c r="A5" s="586"/>
      <c r="B5" s="118"/>
      <c r="C5" s="118"/>
      <c r="D5" s="118"/>
      <c r="E5" s="807"/>
      <c r="F5" s="118"/>
      <c r="G5" s="118"/>
      <c r="H5" s="118"/>
      <c r="I5" s="118"/>
      <c r="J5" s="118"/>
      <c r="K5" s="118"/>
    </row>
    <row r="6" spans="1:14" s="114" customFormat="1" ht="15.75" x14ac:dyDescent="0.25">
      <c r="A6" s="586" t="s">
        <v>462</v>
      </c>
      <c r="B6" s="118"/>
      <c r="C6" s="118"/>
      <c r="D6" s="118"/>
      <c r="E6" s="807"/>
      <c r="F6" s="118"/>
      <c r="G6" s="118"/>
      <c r="H6" s="118"/>
      <c r="I6" s="118"/>
      <c r="J6" s="118"/>
      <c r="K6" s="118"/>
    </row>
    <row r="7" spans="1:14" s="114" customFormat="1" ht="15.75" x14ac:dyDescent="0.25">
      <c r="A7" s="118" t="s">
        <v>463</v>
      </c>
      <c r="B7" s="118"/>
      <c r="C7" s="118"/>
      <c r="D7" s="118"/>
      <c r="E7" s="807"/>
      <c r="F7" s="118"/>
      <c r="G7" s="118"/>
      <c r="H7" s="118"/>
      <c r="I7" s="118"/>
      <c r="J7" s="118"/>
      <c r="K7" s="118"/>
    </row>
    <row r="8" spans="1:14" s="114" customFormat="1" ht="15.75" x14ac:dyDescent="0.25">
      <c r="A8" s="114" t="s">
        <v>464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4" ht="21" x14ac:dyDescent="0.35">
      <c r="A9" s="119"/>
      <c r="B9" s="119"/>
      <c r="C9" s="119"/>
      <c r="D9" s="119"/>
      <c r="E9" s="297"/>
      <c r="F9" s="119"/>
      <c r="G9" s="119"/>
      <c r="H9" s="119"/>
      <c r="I9" s="119"/>
      <c r="J9" s="119"/>
      <c r="K9" s="119"/>
    </row>
    <row r="10" spans="1:14" ht="45" x14ac:dyDescent="0.25">
      <c r="A10" s="209" t="s">
        <v>323</v>
      </c>
      <c r="B10" s="127" t="s">
        <v>324</v>
      </c>
      <c r="C10" s="1135" t="s">
        <v>325</v>
      </c>
      <c r="D10" s="1135"/>
      <c r="E10" s="127" t="s">
        <v>1</v>
      </c>
      <c r="F10" s="127" t="s">
        <v>2</v>
      </c>
      <c r="G10" s="127"/>
      <c r="H10" s="1138" t="s">
        <v>327</v>
      </c>
      <c r="I10" s="1138"/>
      <c r="J10" s="127"/>
      <c r="K10" s="127" t="s">
        <v>3</v>
      </c>
      <c r="L10" s="222"/>
      <c r="M10" s="222"/>
      <c r="N10" s="222"/>
    </row>
    <row r="11" spans="1:14" ht="50.25" customHeight="1" x14ac:dyDescent="0.25">
      <c r="A11" s="129"/>
      <c r="B11" s="129"/>
      <c r="C11" s="1136"/>
      <c r="D11" s="1136"/>
      <c r="E11" s="129"/>
      <c r="F11" s="129" t="s">
        <v>4</v>
      </c>
      <c r="G11" s="129" t="s">
        <v>105</v>
      </c>
      <c r="H11" s="209" t="s">
        <v>328</v>
      </c>
      <c r="I11" s="209" t="s">
        <v>45</v>
      </c>
      <c r="J11" s="210" t="s">
        <v>21</v>
      </c>
      <c r="K11" s="129" t="s">
        <v>6</v>
      </c>
      <c r="L11" s="222"/>
      <c r="M11" s="222"/>
      <c r="N11" s="222"/>
    </row>
    <row r="12" spans="1:14" x14ac:dyDescent="0.25">
      <c r="A12" s="129"/>
      <c r="B12" s="129"/>
      <c r="C12" s="1136"/>
      <c r="D12" s="1136"/>
      <c r="E12" s="129"/>
      <c r="F12" s="129"/>
      <c r="G12" s="129"/>
      <c r="H12" s="129" t="s">
        <v>4</v>
      </c>
      <c r="I12" s="129" t="s">
        <v>7</v>
      </c>
      <c r="J12" s="129"/>
      <c r="K12" s="129"/>
      <c r="L12" s="222"/>
      <c r="M12" s="222"/>
      <c r="N12" s="222"/>
    </row>
    <row r="13" spans="1:14" x14ac:dyDescent="0.25">
      <c r="A13" s="129"/>
      <c r="B13" s="129"/>
      <c r="C13" s="1136"/>
      <c r="D13" s="1136"/>
      <c r="E13" s="129"/>
      <c r="F13" s="129">
        <v>2017</v>
      </c>
      <c r="G13" s="129"/>
      <c r="H13" s="129">
        <v>2018</v>
      </c>
      <c r="I13" s="129">
        <v>2018</v>
      </c>
      <c r="J13" s="129"/>
      <c r="K13" s="129">
        <v>2019</v>
      </c>
      <c r="L13" s="222"/>
      <c r="M13" s="222"/>
      <c r="N13" s="222"/>
    </row>
    <row r="14" spans="1:14" x14ac:dyDescent="0.25">
      <c r="A14" s="305">
        <v>1</v>
      </c>
      <c r="B14" s="305">
        <v>2</v>
      </c>
      <c r="C14" s="1137">
        <v>3</v>
      </c>
      <c r="D14" s="1137"/>
      <c r="E14" s="305"/>
      <c r="F14" s="305">
        <v>4</v>
      </c>
      <c r="G14" s="305"/>
      <c r="H14" s="305">
        <v>5</v>
      </c>
      <c r="I14" s="305">
        <v>6</v>
      </c>
      <c r="J14" s="305">
        <v>7</v>
      </c>
      <c r="K14" s="305">
        <v>8</v>
      </c>
      <c r="L14" s="222"/>
      <c r="M14" s="222"/>
      <c r="N14" s="222"/>
    </row>
    <row r="15" spans="1:14" x14ac:dyDescent="0.25">
      <c r="A15" s="127" t="s">
        <v>384</v>
      </c>
      <c r="B15" s="209"/>
      <c r="C15" s="808" t="s">
        <v>465</v>
      </c>
      <c r="D15" s="476"/>
      <c r="E15" s="127"/>
      <c r="F15" s="809"/>
      <c r="G15" s="308"/>
      <c r="H15" s="308"/>
      <c r="I15" s="809"/>
      <c r="J15" s="809"/>
      <c r="K15" s="308"/>
      <c r="L15" s="222"/>
      <c r="M15" s="222"/>
      <c r="N15" s="222"/>
    </row>
    <row r="16" spans="1:14" x14ac:dyDescent="0.25">
      <c r="A16" s="810"/>
      <c r="B16" s="810"/>
      <c r="C16" s="811"/>
      <c r="D16" s="812" t="s">
        <v>434</v>
      </c>
      <c r="E16" s="89" t="s">
        <v>96</v>
      </c>
      <c r="F16" s="326">
        <v>31030</v>
      </c>
      <c r="G16" s="198">
        <v>103000</v>
      </c>
      <c r="H16" s="326">
        <v>56082</v>
      </c>
      <c r="I16" s="558">
        <f>J16-H16</f>
        <v>91918</v>
      </c>
      <c r="J16" s="192">
        <v>148000</v>
      </c>
      <c r="K16" s="198">
        <v>103000</v>
      </c>
      <c r="L16" s="222"/>
      <c r="M16" s="222"/>
      <c r="N16" s="222"/>
    </row>
    <row r="17" spans="1:16" x14ac:dyDescent="0.25">
      <c r="A17" s="810"/>
      <c r="B17" s="810"/>
      <c r="C17" s="811"/>
      <c r="D17" s="812" t="s">
        <v>435</v>
      </c>
      <c r="E17" s="319" t="str">
        <f>[2]Assessor!$C$31</f>
        <v>5-02-01-010</v>
      </c>
      <c r="F17" s="326">
        <v>19285</v>
      </c>
      <c r="G17" s="198">
        <v>47000</v>
      </c>
      <c r="H17" s="326">
        <v>1800</v>
      </c>
      <c r="I17" s="558">
        <f t="shared" ref="I17:I19" si="0">J17-H17</f>
        <v>36225.32</v>
      </c>
      <c r="J17" s="326">
        <v>38025.32</v>
      </c>
      <c r="K17" s="198">
        <v>47000</v>
      </c>
      <c r="L17" s="222"/>
      <c r="M17" s="222"/>
      <c r="N17" s="222"/>
    </row>
    <row r="18" spans="1:16" x14ac:dyDescent="0.25">
      <c r="A18" s="810"/>
      <c r="B18" s="810"/>
      <c r="C18" s="811"/>
      <c r="D18" s="812" t="s">
        <v>466</v>
      </c>
      <c r="E18" s="319" t="s">
        <v>467</v>
      </c>
      <c r="F18" s="326"/>
      <c r="G18" s="198">
        <v>100000</v>
      </c>
      <c r="H18" s="326">
        <v>0</v>
      </c>
      <c r="I18" s="558">
        <f t="shared" si="0"/>
        <v>0</v>
      </c>
      <c r="J18" s="326">
        <v>0</v>
      </c>
      <c r="K18" s="198">
        <v>100000</v>
      </c>
      <c r="L18" s="744"/>
      <c r="M18" s="45"/>
      <c r="N18" s="45"/>
      <c r="O18" s="45"/>
      <c r="P18" s="45"/>
    </row>
    <row r="19" spans="1:16" x14ac:dyDescent="0.25">
      <c r="A19" s="810"/>
      <c r="B19" s="810"/>
      <c r="C19" s="811"/>
      <c r="D19" s="812" t="s">
        <v>468</v>
      </c>
      <c r="E19" s="319"/>
      <c r="F19" s="326">
        <v>12250</v>
      </c>
      <c r="G19" s="198">
        <v>150000</v>
      </c>
      <c r="H19" s="326">
        <v>0</v>
      </c>
      <c r="I19" s="558">
        <f t="shared" si="0"/>
        <v>87754.34</v>
      </c>
      <c r="J19" s="326">
        <v>87754.34</v>
      </c>
      <c r="K19" s="198">
        <v>150000</v>
      </c>
      <c r="L19" s="222"/>
      <c r="M19" s="222"/>
      <c r="N19" s="222"/>
    </row>
    <row r="20" spans="1:16" s="248" customFormat="1" ht="15.75" thickBot="1" x14ac:dyDescent="0.3">
      <c r="A20" s="813"/>
      <c r="B20" s="813"/>
      <c r="C20" s="1155" t="s">
        <v>5</v>
      </c>
      <c r="D20" s="1155"/>
      <c r="E20" s="813"/>
      <c r="F20" s="333">
        <f>SUM(F16:F19)</f>
        <v>62565</v>
      </c>
      <c r="G20" s="323">
        <f>SUM(G16:G19)</f>
        <v>400000</v>
      </c>
      <c r="H20" s="323">
        <f t="shared" ref="H20:J20" si="1">SUM(H16:H19)</f>
        <v>57882</v>
      </c>
      <c r="I20" s="323">
        <f t="shared" si="1"/>
        <v>215897.66</v>
      </c>
      <c r="J20" s="323">
        <f t="shared" si="1"/>
        <v>273779.66000000003</v>
      </c>
      <c r="K20" s="323">
        <f>SUM(K16:K19)</f>
        <v>400000</v>
      </c>
      <c r="L20" s="215"/>
      <c r="M20" s="215"/>
      <c r="N20" s="215"/>
    </row>
    <row r="21" spans="1:16" ht="15.75" customHeight="1" thickTop="1" x14ac:dyDescent="0.25">
      <c r="A21" s="814"/>
      <c r="B21" s="814"/>
      <c r="C21" s="1156" t="s">
        <v>469</v>
      </c>
      <c r="D21" s="1156"/>
      <c r="E21" s="313"/>
      <c r="F21" s="233"/>
      <c r="G21" s="315"/>
      <c r="H21" s="233"/>
      <c r="I21" s="233"/>
      <c r="J21" s="233"/>
      <c r="K21" s="315"/>
      <c r="L21" s="222"/>
      <c r="M21" s="222"/>
      <c r="N21" s="222"/>
    </row>
    <row r="22" spans="1:16" x14ac:dyDescent="0.25">
      <c r="A22" s="810"/>
      <c r="B22" s="810"/>
      <c r="C22" s="811"/>
      <c r="D22" s="812" t="s">
        <v>236</v>
      </c>
      <c r="E22" s="319" t="str">
        <f>[2]Assessor!$C$33</f>
        <v>5-02-03-010</v>
      </c>
      <c r="F22" s="326"/>
      <c r="G22" s="198">
        <v>45500</v>
      </c>
      <c r="H22" s="326">
        <v>5451</v>
      </c>
      <c r="I22" s="558">
        <f t="shared" ref="I22:I24" si="2">J22-H22</f>
        <v>47604.87</v>
      </c>
      <c r="J22" s="326">
        <v>53055.87</v>
      </c>
      <c r="K22" s="198">
        <v>45500</v>
      </c>
      <c r="L22" s="222"/>
      <c r="M22" s="222"/>
      <c r="N22" s="222"/>
    </row>
    <row r="23" spans="1:16" x14ac:dyDescent="0.25">
      <c r="A23" s="810"/>
      <c r="B23" s="810"/>
      <c r="C23" s="811"/>
      <c r="D23" s="812" t="s">
        <v>434</v>
      </c>
      <c r="E23" s="89" t="s">
        <v>96</v>
      </c>
      <c r="F23" s="326"/>
      <c r="G23" s="198">
        <v>50000</v>
      </c>
      <c r="H23" s="326">
        <v>0</v>
      </c>
      <c r="I23" s="558">
        <f t="shared" si="2"/>
        <v>45768</v>
      </c>
      <c r="J23" s="326">
        <v>45768</v>
      </c>
      <c r="K23" s="198">
        <v>50000</v>
      </c>
      <c r="L23" s="222"/>
      <c r="M23" s="222"/>
      <c r="N23" s="222"/>
    </row>
    <row r="24" spans="1:16" x14ac:dyDescent="0.25">
      <c r="A24" s="810"/>
      <c r="B24" s="810"/>
      <c r="C24" s="811"/>
      <c r="D24" s="812" t="s">
        <v>470</v>
      </c>
      <c r="E24" s="319"/>
      <c r="F24" s="326">
        <v>600</v>
      </c>
      <c r="G24" s="198"/>
      <c r="H24" s="326"/>
      <c r="I24" s="558">
        <f t="shared" si="2"/>
        <v>0</v>
      </c>
      <c r="J24" s="326"/>
      <c r="K24" s="198"/>
      <c r="L24" s="222"/>
      <c r="M24" s="222"/>
      <c r="N24" s="222"/>
    </row>
    <row r="25" spans="1:16" ht="15.75" thickBot="1" x14ac:dyDescent="0.3">
      <c r="A25" s="813"/>
      <c r="B25" s="813"/>
      <c r="C25" s="1155" t="s">
        <v>5</v>
      </c>
      <c r="D25" s="1155"/>
      <c r="E25" s="813"/>
      <c r="F25" s="333">
        <f>SUM(F22:F24)</f>
        <v>600</v>
      </c>
      <c r="G25" s="323">
        <f>SUM(G22:G24)</f>
        <v>95500</v>
      </c>
      <c r="H25" s="323">
        <f t="shared" ref="H25:J25" si="3">SUM(H22:H24)</f>
        <v>5451</v>
      </c>
      <c r="I25" s="323">
        <f t="shared" si="3"/>
        <v>93372.87</v>
      </c>
      <c r="J25" s="323">
        <f t="shared" si="3"/>
        <v>98823.87</v>
      </c>
      <c r="K25" s="323">
        <f>SUM(K22:K24)</f>
        <v>95500</v>
      </c>
      <c r="L25" s="222"/>
      <c r="M25" s="222"/>
      <c r="N25" s="222"/>
    </row>
    <row r="26" spans="1:16" ht="15" hidden="1" customHeight="1" x14ac:dyDescent="0.25">
      <c r="A26" s="815"/>
      <c r="B26" s="816"/>
      <c r="C26" s="817"/>
      <c r="D26" s="818"/>
      <c r="E26" s="819"/>
      <c r="F26" s="820"/>
      <c r="G26" s="821"/>
      <c r="H26" s="820"/>
      <c r="I26" s="820"/>
      <c r="J26" s="820"/>
      <c r="K26" s="821"/>
      <c r="L26" s="222"/>
      <c r="M26" s="222"/>
      <c r="N26" s="222"/>
    </row>
    <row r="27" spans="1:16" ht="15.75" thickTop="1" x14ac:dyDescent="0.25">
      <c r="A27" s="810"/>
      <c r="B27" s="310"/>
      <c r="C27" s="822"/>
      <c r="D27" s="823"/>
      <c r="E27" s="319"/>
      <c r="F27" s="320"/>
      <c r="G27" s="320"/>
      <c r="H27" s="320"/>
      <c r="I27" s="320"/>
      <c r="J27" s="320"/>
      <c r="K27" s="192"/>
      <c r="L27" s="222"/>
      <c r="M27" s="222"/>
      <c r="N27" s="222"/>
    </row>
    <row r="28" spans="1:16" s="248" customFormat="1" ht="15" customHeight="1" thickBot="1" x14ac:dyDescent="0.3">
      <c r="A28" s="813"/>
      <c r="B28" s="824"/>
      <c r="C28" s="1154" t="s">
        <v>336</v>
      </c>
      <c r="D28" s="1154"/>
      <c r="E28" s="322"/>
      <c r="F28" s="333">
        <f t="shared" ref="F28:K28" si="4">F20+F25</f>
        <v>63165</v>
      </c>
      <c r="G28" s="333">
        <f t="shared" si="4"/>
        <v>495500</v>
      </c>
      <c r="H28" s="333">
        <f t="shared" si="4"/>
        <v>63333</v>
      </c>
      <c r="I28" s="333">
        <f t="shared" si="4"/>
        <v>309270.53000000003</v>
      </c>
      <c r="J28" s="333">
        <f t="shared" si="4"/>
        <v>372603.53</v>
      </c>
      <c r="K28" s="333">
        <f t="shared" si="4"/>
        <v>495500</v>
      </c>
      <c r="L28" s="215"/>
      <c r="M28" s="215"/>
      <c r="N28" s="215"/>
    </row>
    <row r="29" spans="1:16" s="248" customFormat="1" ht="15" customHeight="1" thickTop="1" thickBot="1" x14ac:dyDescent="0.3">
      <c r="A29" s="825"/>
      <c r="B29" s="826"/>
      <c r="C29" s="1157" t="s">
        <v>458</v>
      </c>
      <c r="D29" s="1157"/>
      <c r="E29" s="341"/>
      <c r="F29" s="342">
        <v>0</v>
      </c>
      <c r="G29" s="342"/>
      <c r="H29" s="342"/>
      <c r="I29" s="342"/>
      <c r="J29" s="342"/>
      <c r="K29" s="342"/>
      <c r="L29" s="215"/>
      <c r="M29" s="215"/>
      <c r="N29" s="215"/>
    </row>
    <row r="30" spans="1:16" ht="16.5" thickTop="1" thickBot="1" x14ac:dyDescent="0.3">
      <c r="A30" s="827"/>
      <c r="B30" s="827"/>
      <c r="C30" s="1158" t="s">
        <v>377</v>
      </c>
      <c r="D30" s="1158"/>
      <c r="E30" s="361"/>
      <c r="F30" s="362">
        <f>F28+F29</f>
        <v>63165</v>
      </c>
      <c r="G30" s="362">
        <f t="shared" ref="G30:J30" si="5">G28+G29</f>
        <v>495500</v>
      </c>
      <c r="H30" s="362">
        <f t="shared" si="5"/>
        <v>63333</v>
      </c>
      <c r="I30" s="362">
        <f t="shared" si="5"/>
        <v>309270.53000000003</v>
      </c>
      <c r="J30" s="362">
        <f t="shared" si="5"/>
        <v>372603.53</v>
      </c>
      <c r="K30" s="362">
        <v>495500</v>
      </c>
      <c r="L30" s="25"/>
    </row>
    <row r="31" spans="1:16" ht="15.75" thickTop="1" x14ac:dyDescent="0.25">
      <c r="F31" s="37"/>
      <c r="G31" s="37"/>
      <c r="H31" s="37"/>
      <c r="I31" s="37"/>
      <c r="J31" s="37"/>
      <c r="K31" s="37"/>
      <c r="P31" s="25"/>
    </row>
    <row r="32" spans="1:16" s="114" customFormat="1" ht="36.75" customHeight="1" x14ac:dyDescent="0.25">
      <c r="A32" s="1151" t="s">
        <v>471</v>
      </c>
      <c r="B32" s="1151"/>
      <c r="C32" s="1151"/>
      <c r="D32" s="1151"/>
      <c r="E32" s="1151"/>
      <c r="F32" s="1151"/>
      <c r="G32" s="1151"/>
      <c r="H32" s="1151"/>
      <c r="I32" s="1151"/>
      <c r="J32" s="1151"/>
      <c r="K32" s="1151"/>
      <c r="N32" s="363"/>
    </row>
    <row r="33" spans="1:12" s="114" customFormat="1" ht="15.75" x14ac:dyDescent="0.25">
      <c r="D33" s="115"/>
      <c r="E33" s="364"/>
      <c r="H33" s="115"/>
      <c r="K33" s="115"/>
    </row>
    <row r="34" spans="1:12" s="114" customFormat="1" ht="27" customHeight="1" x14ac:dyDescent="0.25">
      <c r="D34" s="115"/>
      <c r="E34" s="364"/>
      <c r="H34" s="115"/>
      <c r="K34" s="115"/>
    </row>
    <row r="35" spans="1:12" s="114" customFormat="1" ht="15.75" x14ac:dyDescent="0.25">
      <c r="A35" s="1150" t="s">
        <v>472</v>
      </c>
      <c r="B35" s="1150"/>
      <c r="C35" s="1150"/>
      <c r="D35" s="1150"/>
      <c r="E35" s="1150"/>
      <c r="F35" s="1150"/>
      <c r="G35" s="1150"/>
      <c r="H35" s="1150"/>
      <c r="I35" s="1150"/>
      <c r="J35" s="1150"/>
      <c r="K35" s="1150"/>
    </row>
    <row r="36" spans="1:12" s="114" customFormat="1" ht="15.75" x14ac:dyDescent="0.25">
      <c r="A36" s="1151" t="s">
        <v>473</v>
      </c>
      <c r="B36" s="1151"/>
      <c r="C36" s="1151"/>
      <c r="D36" s="1151"/>
      <c r="E36" s="1151"/>
      <c r="F36" s="1151"/>
      <c r="G36" s="1151"/>
      <c r="H36" s="1151"/>
      <c r="I36" s="1151"/>
      <c r="J36" s="1151"/>
      <c r="K36" s="1151"/>
    </row>
    <row r="37" spans="1:12" ht="21" x14ac:dyDescent="0.35">
      <c r="A37" s="119"/>
      <c r="B37" s="119"/>
      <c r="C37" s="119"/>
      <c r="D37" s="119"/>
      <c r="E37" s="297"/>
      <c r="F37" s="119"/>
      <c r="G37" s="119"/>
      <c r="H37" s="119"/>
      <c r="I37" s="119"/>
      <c r="J37" s="119"/>
      <c r="K37" s="119"/>
      <c r="L37" s="119"/>
    </row>
    <row r="38" spans="1:12" ht="21" x14ac:dyDescent="0.35">
      <c r="A38" s="119"/>
      <c r="B38" s="119"/>
      <c r="C38" s="119"/>
      <c r="D38" s="119"/>
      <c r="E38" s="297"/>
      <c r="F38" s="119"/>
      <c r="G38" s="119"/>
      <c r="H38" s="119"/>
      <c r="I38" s="119"/>
      <c r="J38" s="119"/>
      <c r="K38" s="119"/>
      <c r="L38" s="119"/>
    </row>
  </sheetData>
  <sheetProtection algorithmName="SHA-512" hashValue="25KzK8p2gRPDt/BX10GnbB4BRJETXA2fVOoe2iKauO5FKZ1ro8FpIZcVdzM2unTlXDauVVcgRsFK9Ktgw867Dw==" saltValue="mi5lezh8/QxpvvJIVNpOeA==" spinCount="100000" sheet="1" objects="1" scenarios="1" selectLockedCells="1" selectUnlockedCells="1"/>
  <mergeCells count="17">
    <mergeCell ref="C29:D29"/>
    <mergeCell ref="C30:D30"/>
    <mergeCell ref="A32:K32"/>
    <mergeCell ref="A35:K35"/>
    <mergeCell ref="A36:K36"/>
    <mergeCell ref="C28:D28"/>
    <mergeCell ref="A3:K3"/>
    <mergeCell ref="A4:K4"/>
    <mergeCell ref="C10:D10"/>
    <mergeCell ref="H10:I10"/>
    <mergeCell ref="C11:D11"/>
    <mergeCell ref="C12:D12"/>
    <mergeCell ref="C13:D13"/>
    <mergeCell ref="C14:D14"/>
    <mergeCell ref="C20:D20"/>
    <mergeCell ref="C21:D21"/>
    <mergeCell ref="C25:D25"/>
  </mergeCells>
  <printOptions horizontalCentered="1"/>
  <pageMargins left="0.61" right="0.51" top="0.75" bottom="0" header="0" footer="0"/>
  <pageSetup scale="6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71"/>
  <sheetViews>
    <sheetView topLeftCell="A49" zoomScale="90" zoomScaleNormal="90" zoomScaleSheetLayoutView="90" workbookViewId="0">
      <selection activeCell="J68" sqref="J67:J68"/>
    </sheetView>
  </sheetViews>
  <sheetFormatPr defaultRowHeight="15" x14ac:dyDescent="0.25"/>
  <cols>
    <col min="1" max="1" width="12.140625" style="159" customWidth="1"/>
    <col min="2" max="2" width="9.7109375" style="159" customWidth="1"/>
    <col min="3" max="3" width="2.28515625" style="159" customWidth="1"/>
    <col min="4" max="4" width="32.5703125" style="159" customWidth="1"/>
    <col min="5" max="5" width="13.42578125" style="159" customWidth="1"/>
    <col min="6" max="6" width="15.140625" style="159" customWidth="1"/>
    <col min="7" max="7" width="15.140625" style="159" hidden="1" customWidth="1"/>
    <col min="8" max="8" width="15.140625" style="159" customWidth="1"/>
    <col min="9" max="9" width="15.7109375" style="159" customWidth="1"/>
    <col min="10" max="11" width="15.140625" style="159" customWidth="1"/>
    <col min="12" max="12" width="33.7109375" style="159" customWidth="1"/>
    <col min="13" max="13" width="4.85546875" style="159" bestFit="1" customWidth="1"/>
    <col min="14" max="14" width="14.28515625" style="159" bestFit="1" customWidth="1"/>
    <col min="15" max="15" width="9.140625" style="159"/>
    <col min="16" max="16" width="14.28515625" style="159" bestFit="1" customWidth="1"/>
    <col min="17" max="16384" width="9.140625" style="159"/>
  </cols>
  <sheetData>
    <row r="1" spans="1:14" x14ac:dyDescent="0.25">
      <c r="A1" s="159" t="s">
        <v>318</v>
      </c>
      <c r="K1" s="159" t="s">
        <v>319</v>
      </c>
    </row>
    <row r="3" spans="1:14" s="114" customFormat="1" ht="15.75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217"/>
      <c r="M3" s="217"/>
      <c r="N3" s="217"/>
    </row>
    <row r="4" spans="1:14" s="114" customFormat="1" ht="15.75" x14ac:dyDescent="0.25">
      <c r="A4" s="1069" t="s">
        <v>380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</row>
    <row r="5" spans="1:14" s="114" customFormat="1" ht="15.75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4" s="114" customFormat="1" ht="15.75" x14ac:dyDescent="0.25">
      <c r="A6" s="586" t="s">
        <v>474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4" s="114" customFormat="1" ht="15.75" x14ac:dyDescent="0.25">
      <c r="A7" s="118" t="s">
        <v>153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4" s="114" customFormat="1" ht="15.75" x14ac:dyDescent="0.25">
      <c r="A8" s="118" t="s">
        <v>144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4" ht="21" x14ac:dyDescent="0.3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4" ht="45" x14ac:dyDescent="0.25">
      <c r="A10" s="209" t="s">
        <v>323</v>
      </c>
      <c r="B10" s="127" t="s">
        <v>324</v>
      </c>
      <c r="C10" s="1075" t="s">
        <v>325</v>
      </c>
      <c r="D10" s="1071"/>
      <c r="E10" s="207" t="s">
        <v>1</v>
      </c>
      <c r="F10" s="127" t="s">
        <v>2</v>
      </c>
      <c r="G10" s="127"/>
      <c r="H10" s="1138" t="s">
        <v>327</v>
      </c>
      <c r="I10" s="1138"/>
      <c r="J10" s="127"/>
      <c r="K10" s="127" t="s">
        <v>3</v>
      </c>
      <c r="L10" s="222"/>
      <c r="M10" s="222"/>
      <c r="N10" s="222"/>
    </row>
    <row r="11" spans="1:14" ht="50.25" customHeight="1" x14ac:dyDescent="0.25">
      <c r="A11" s="129"/>
      <c r="B11" s="129"/>
      <c r="C11" s="1096"/>
      <c r="D11" s="1072"/>
      <c r="E11" s="208"/>
      <c r="F11" s="129" t="s">
        <v>4</v>
      </c>
      <c r="G11" s="129" t="s">
        <v>475</v>
      </c>
      <c r="H11" s="209" t="s">
        <v>328</v>
      </c>
      <c r="I11" s="209" t="s">
        <v>45</v>
      </c>
      <c r="J11" s="210" t="s">
        <v>21</v>
      </c>
      <c r="K11" s="129" t="s">
        <v>6</v>
      </c>
      <c r="L11" s="222"/>
      <c r="M11" s="222"/>
      <c r="N11" s="222"/>
    </row>
    <row r="12" spans="1:14" x14ac:dyDescent="0.25">
      <c r="A12" s="129"/>
      <c r="B12" s="129"/>
      <c r="C12" s="1096"/>
      <c r="D12" s="1072"/>
      <c r="E12" s="208"/>
      <c r="F12" s="129"/>
      <c r="G12" s="129"/>
      <c r="H12" s="129" t="s">
        <v>4</v>
      </c>
      <c r="I12" s="129" t="s">
        <v>7</v>
      </c>
      <c r="J12" s="129"/>
      <c r="K12" s="129"/>
      <c r="L12" s="222"/>
      <c r="M12" s="222"/>
      <c r="N12" s="222"/>
    </row>
    <row r="13" spans="1:14" x14ac:dyDescent="0.25">
      <c r="A13" s="129"/>
      <c r="B13" s="129"/>
      <c r="C13" s="1096"/>
      <c r="D13" s="1072"/>
      <c r="E13" s="208"/>
      <c r="F13" s="129">
        <v>2017</v>
      </c>
      <c r="G13" s="129"/>
      <c r="H13" s="129">
        <v>2018</v>
      </c>
      <c r="I13" s="129">
        <v>2018</v>
      </c>
      <c r="J13" s="129"/>
      <c r="K13" s="129">
        <v>2019</v>
      </c>
      <c r="L13" s="222"/>
      <c r="M13" s="222"/>
      <c r="N13" s="222"/>
    </row>
    <row r="14" spans="1:14" x14ac:dyDescent="0.25">
      <c r="A14" s="305">
        <v>1</v>
      </c>
      <c r="B14" s="305">
        <v>2</v>
      </c>
      <c r="C14" s="1163">
        <v>3</v>
      </c>
      <c r="D14" s="1164"/>
      <c r="E14" s="304"/>
      <c r="F14" s="305">
        <v>4</v>
      </c>
      <c r="G14" s="305"/>
      <c r="H14" s="305">
        <v>5</v>
      </c>
      <c r="I14" s="305">
        <v>6</v>
      </c>
      <c r="J14" s="305">
        <v>7</v>
      </c>
      <c r="K14" s="305">
        <v>8</v>
      </c>
      <c r="L14" s="222"/>
      <c r="M14" s="222"/>
      <c r="N14" s="222"/>
    </row>
    <row r="15" spans="1:14" s="36" customFormat="1" x14ac:dyDescent="0.25">
      <c r="A15" s="828"/>
      <c r="B15" s="828"/>
      <c r="C15" s="1165" t="s">
        <v>476</v>
      </c>
      <c r="D15" s="1165"/>
      <c r="E15" s="829"/>
      <c r="F15" s="830"/>
      <c r="G15" s="830"/>
      <c r="H15" s="830"/>
      <c r="I15" s="830"/>
      <c r="J15" s="830"/>
      <c r="K15" s="831"/>
      <c r="L15" s="752"/>
      <c r="M15" s="752"/>
      <c r="N15" s="752"/>
    </row>
    <row r="16" spans="1:14" x14ac:dyDescent="0.25">
      <c r="A16" s="810"/>
      <c r="B16" s="810"/>
      <c r="C16" s="811"/>
      <c r="D16" s="812" t="s">
        <v>477</v>
      </c>
      <c r="E16" s="319" t="str">
        <f>'[2]MO(Misc.)'!$C$25</f>
        <v>5-02-03-090</v>
      </c>
      <c r="F16" s="320">
        <v>24999.200000000001</v>
      </c>
      <c r="G16" s="198">
        <v>25000</v>
      </c>
      <c r="H16" s="320"/>
      <c r="I16" s="320">
        <f>J16-H16</f>
        <v>24000</v>
      </c>
      <c r="J16" s="320">
        <v>24000</v>
      </c>
      <c r="K16" s="198">
        <f>35000+25000</f>
        <v>60000</v>
      </c>
      <c r="L16" s="222"/>
      <c r="M16" s="222"/>
      <c r="N16" s="222"/>
    </row>
    <row r="17" spans="1:34" x14ac:dyDescent="0.25">
      <c r="A17" s="810"/>
      <c r="B17" s="810"/>
      <c r="C17" s="811"/>
      <c r="D17" s="812" t="s">
        <v>478</v>
      </c>
      <c r="E17" s="319"/>
      <c r="F17" s="320">
        <v>8610</v>
      </c>
      <c r="G17" s="198">
        <v>10000</v>
      </c>
      <c r="H17" s="320">
        <v>0</v>
      </c>
      <c r="I17" s="320">
        <f>J17-H17</f>
        <v>10000</v>
      </c>
      <c r="J17" s="320">
        <v>10000</v>
      </c>
      <c r="K17" s="198">
        <v>0</v>
      </c>
      <c r="L17" s="222"/>
      <c r="M17" s="222"/>
      <c r="N17" s="222"/>
    </row>
    <row r="18" spans="1:34" x14ac:dyDescent="0.25">
      <c r="A18" s="810"/>
      <c r="B18" s="810"/>
      <c r="C18" s="811"/>
      <c r="D18" s="812" t="s">
        <v>479</v>
      </c>
      <c r="E18" s="43" t="s">
        <v>99</v>
      </c>
      <c r="F18" s="320">
        <v>14386.95</v>
      </c>
      <c r="G18" s="198">
        <v>15000</v>
      </c>
      <c r="H18" s="320">
        <v>1700</v>
      </c>
      <c r="I18" s="320">
        <f>J18-H18</f>
        <v>19300</v>
      </c>
      <c r="J18" s="320">
        <v>21000</v>
      </c>
      <c r="K18" s="198">
        <v>15000</v>
      </c>
      <c r="L18" s="222"/>
      <c r="M18" s="222"/>
      <c r="N18" s="222"/>
    </row>
    <row r="19" spans="1:34" s="248" customFormat="1" ht="15.75" thickBot="1" x14ac:dyDescent="0.3">
      <c r="A19" s="813"/>
      <c r="B19" s="813"/>
      <c r="C19" s="1154" t="s">
        <v>21</v>
      </c>
      <c r="D19" s="1154"/>
      <c r="E19" s="832"/>
      <c r="F19" s="333">
        <f>SUM(F16:F18)</f>
        <v>47996.149999999994</v>
      </c>
      <c r="G19" s="333">
        <f>SUM(G16:G18)</f>
        <v>50000</v>
      </c>
      <c r="H19" s="333">
        <f t="shared" ref="H19:J19" si="0">SUM(H16:H18)</f>
        <v>1700</v>
      </c>
      <c r="I19" s="333">
        <f t="shared" si="0"/>
        <v>53300</v>
      </c>
      <c r="J19" s="333">
        <f t="shared" si="0"/>
        <v>55000</v>
      </c>
      <c r="K19" s="323">
        <f>SUM(K16:K18)</f>
        <v>75000</v>
      </c>
      <c r="L19" s="215"/>
      <c r="M19" s="215"/>
      <c r="N19" s="215"/>
    </row>
    <row r="20" spans="1:34" ht="15.75" thickTop="1" x14ac:dyDescent="0.25">
      <c r="A20" s="814"/>
      <c r="B20" s="814"/>
      <c r="C20" s="1156" t="s">
        <v>480</v>
      </c>
      <c r="D20" s="1156"/>
      <c r="E20" s="833"/>
      <c r="F20" s="314"/>
      <c r="G20" s="314"/>
      <c r="H20" s="314"/>
      <c r="I20" s="314"/>
      <c r="J20" s="314"/>
      <c r="K20" s="834"/>
      <c r="L20" s="222"/>
      <c r="M20" s="222"/>
      <c r="N20" s="222"/>
    </row>
    <row r="21" spans="1:34" x14ac:dyDescent="0.25">
      <c r="A21" s="810"/>
      <c r="B21" s="810"/>
      <c r="C21" s="811"/>
      <c r="D21" s="812" t="s">
        <v>481</v>
      </c>
      <c r="E21" s="835"/>
      <c r="F21" s="326"/>
      <c r="G21" s="198">
        <v>4000</v>
      </c>
      <c r="H21" s="326"/>
      <c r="I21" s="320">
        <f t="shared" ref="I21:I22" si="1">J21-H21</f>
        <v>0</v>
      </c>
      <c r="J21" s="320"/>
      <c r="K21" s="198">
        <v>0</v>
      </c>
      <c r="L21" s="222"/>
      <c r="M21" s="222"/>
      <c r="N21" s="222"/>
    </row>
    <row r="22" spans="1:34" x14ac:dyDescent="0.25">
      <c r="A22" s="810"/>
      <c r="B22" s="810"/>
      <c r="C22" s="811"/>
      <c r="D22" s="812" t="s">
        <v>482</v>
      </c>
      <c r="E22" s="836" t="s">
        <v>483</v>
      </c>
      <c r="F22" s="837"/>
      <c r="G22" s="198">
        <v>16000</v>
      </c>
      <c r="H22" s="837"/>
      <c r="I22" s="320">
        <f t="shared" si="1"/>
        <v>15000</v>
      </c>
      <c r="J22" s="320">
        <v>15000</v>
      </c>
      <c r="K22" s="198">
        <v>20000</v>
      </c>
      <c r="L22" s="222"/>
      <c r="M22" s="222"/>
      <c r="N22" s="222"/>
    </row>
    <row r="23" spans="1:34" s="248" customFormat="1" ht="15.75" thickBot="1" x14ac:dyDescent="0.3">
      <c r="A23" s="813"/>
      <c r="B23" s="813"/>
      <c r="C23" s="1154" t="s">
        <v>21</v>
      </c>
      <c r="D23" s="1154"/>
      <c r="E23" s="832"/>
      <c r="F23" s="333">
        <f>SUM(F21:F22)</f>
        <v>0</v>
      </c>
      <c r="G23" s="333">
        <f t="shared" ref="G23:J23" si="2">SUM(G21:G22)</f>
        <v>20000</v>
      </c>
      <c r="H23" s="333">
        <f t="shared" si="2"/>
        <v>0</v>
      </c>
      <c r="I23" s="333">
        <f t="shared" si="2"/>
        <v>15000</v>
      </c>
      <c r="J23" s="333">
        <f t="shared" si="2"/>
        <v>15000</v>
      </c>
      <c r="K23" s="333">
        <f>SUM(K21:K22)</f>
        <v>20000</v>
      </c>
      <c r="L23" s="215"/>
      <c r="M23" s="215"/>
      <c r="N23" s="215"/>
    </row>
    <row r="24" spans="1:34" ht="15.75" thickTop="1" x14ac:dyDescent="0.25">
      <c r="A24" s="838"/>
      <c r="B24" s="838"/>
      <c r="C24" s="1156" t="s">
        <v>484</v>
      </c>
      <c r="D24" s="1156"/>
      <c r="E24" s="839"/>
      <c r="F24" s="840"/>
      <c r="G24" s="840"/>
      <c r="H24" s="840"/>
      <c r="I24" s="840"/>
      <c r="J24" s="840"/>
      <c r="K24" s="841"/>
      <c r="L24" s="222"/>
      <c r="M24" s="222"/>
      <c r="N24" s="222"/>
    </row>
    <row r="25" spans="1:34" x14ac:dyDescent="0.25">
      <c r="A25" s="810"/>
      <c r="B25" s="810"/>
      <c r="C25" s="811"/>
      <c r="D25" s="805" t="s">
        <v>485</v>
      </c>
      <c r="E25" s="842" t="s">
        <v>316</v>
      </c>
      <c r="F25" s="320">
        <v>30000</v>
      </c>
      <c r="G25" s="320">
        <v>30000</v>
      </c>
      <c r="H25" s="320"/>
      <c r="I25" s="320">
        <f t="shared" ref="I25" si="3">J25-H25</f>
        <v>30000</v>
      </c>
      <c r="J25" s="320">
        <v>30000</v>
      </c>
      <c r="K25" s="198">
        <v>30000</v>
      </c>
      <c r="L25" s="7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5.75" thickBot="1" x14ac:dyDescent="0.3">
      <c r="A26" s="813"/>
      <c r="B26" s="813"/>
      <c r="C26" s="1154" t="s">
        <v>21</v>
      </c>
      <c r="D26" s="1154"/>
      <c r="E26" s="832"/>
      <c r="F26" s="333">
        <f>SUM(F24:F25)</f>
        <v>30000</v>
      </c>
      <c r="G26" s="333">
        <f t="shared" ref="G26:J26" si="4">SUM(G24:G25)</f>
        <v>30000</v>
      </c>
      <c r="H26" s="333">
        <f t="shared" si="4"/>
        <v>0</v>
      </c>
      <c r="I26" s="333">
        <f t="shared" si="4"/>
        <v>30000</v>
      </c>
      <c r="J26" s="333">
        <f t="shared" si="4"/>
        <v>30000</v>
      </c>
      <c r="K26" s="333">
        <f>SUM(K24:K25)</f>
        <v>30000</v>
      </c>
      <c r="L26" s="873"/>
      <c r="M26" s="806"/>
      <c r="N26" s="806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5" customHeight="1" thickTop="1" x14ac:dyDescent="0.25">
      <c r="A27" s="810"/>
      <c r="B27" s="810"/>
      <c r="C27" s="1159" t="s">
        <v>486</v>
      </c>
      <c r="D27" s="1159"/>
      <c r="E27" s="843"/>
      <c r="F27" s="320"/>
      <c r="G27" s="320"/>
      <c r="H27" s="320"/>
      <c r="I27" s="320"/>
      <c r="J27" s="320"/>
      <c r="K27" s="198"/>
      <c r="L27" s="873"/>
      <c r="M27" s="806"/>
      <c r="N27" s="806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x14ac:dyDescent="0.25">
      <c r="A28" s="810"/>
      <c r="B28" s="810"/>
      <c r="C28" s="433" t="s">
        <v>487</v>
      </c>
      <c r="D28" s="433" t="s">
        <v>488</v>
      </c>
      <c r="E28" s="844" t="s">
        <v>284</v>
      </c>
      <c r="F28" s="320">
        <v>457770.88</v>
      </c>
      <c r="G28" s="350">
        <v>460800</v>
      </c>
      <c r="H28" s="320">
        <v>241500</v>
      </c>
      <c r="I28" s="320">
        <f t="shared" ref="I28:I32" si="5">J28-H28</f>
        <v>254940</v>
      </c>
      <c r="J28" s="320">
        <v>496440</v>
      </c>
      <c r="K28" s="350">
        <v>460800</v>
      </c>
      <c r="L28" s="873"/>
      <c r="M28" s="806"/>
      <c r="N28" s="806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x14ac:dyDescent="0.25">
      <c r="A29" s="810"/>
      <c r="B29" s="810"/>
      <c r="C29" s="433" t="s">
        <v>489</v>
      </c>
      <c r="D29" s="433" t="s">
        <v>435</v>
      </c>
      <c r="E29" s="844" t="str">
        <f>[3]mpdc2018!E19</f>
        <v>5-02-01-010</v>
      </c>
      <c r="F29" s="320">
        <v>29666</v>
      </c>
      <c r="G29" s="350">
        <v>30000</v>
      </c>
      <c r="H29" s="320">
        <v>4200</v>
      </c>
      <c r="I29" s="320">
        <f t="shared" si="5"/>
        <v>43050</v>
      </c>
      <c r="J29" s="320">
        <v>47250</v>
      </c>
      <c r="K29" s="350">
        <v>17000</v>
      </c>
      <c r="L29" s="873"/>
      <c r="M29" s="806"/>
      <c r="N29" s="806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x14ac:dyDescent="0.25">
      <c r="A30" s="810"/>
      <c r="B30" s="810"/>
      <c r="C30" s="433" t="s">
        <v>456</v>
      </c>
      <c r="D30" s="433" t="s">
        <v>490</v>
      </c>
      <c r="E30" s="844" t="s">
        <v>491</v>
      </c>
      <c r="F30" s="320">
        <v>28384</v>
      </c>
      <c r="G30" s="350">
        <v>30000</v>
      </c>
      <c r="H30" s="320">
        <v>21202</v>
      </c>
      <c r="I30" s="320">
        <f t="shared" si="5"/>
        <v>6374</v>
      </c>
      <c r="J30" s="320">
        <v>27576</v>
      </c>
      <c r="K30" s="350">
        <v>30000</v>
      </c>
      <c r="L30" s="744"/>
      <c r="M30" s="45"/>
      <c r="N30" s="45"/>
      <c r="O30" s="472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x14ac:dyDescent="0.25">
      <c r="A31" s="810"/>
      <c r="B31" s="810"/>
      <c r="C31" s="433" t="s">
        <v>492</v>
      </c>
      <c r="D31" s="433" t="s">
        <v>493</v>
      </c>
      <c r="E31" s="844" t="str">
        <f>[2]Assessor!$C$32</f>
        <v>5-02-02-010</v>
      </c>
      <c r="F31" s="320">
        <v>10000</v>
      </c>
      <c r="G31" s="350">
        <v>30000</v>
      </c>
      <c r="H31" s="320">
        <v>0</v>
      </c>
      <c r="I31" s="320">
        <f t="shared" si="5"/>
        <v>30000</v>
      </c>
      <c r="J31" s="320">
        <v>30000</v>
      </c>
      <c r="K31" s="350">
        <f>30000+44000</f>
        <v>74000</v>
      </c>
      <c r="L31" s="873"/>
      <c r="M31" s="806"/>
      <c r="N31" s="806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x14ac:dyDescent="0.25">
      <c r="A32" s="810"/>
      <c r="B32" s="810"/>
      <c r="C32" s="433" t="s">
        <v>494</v>
      </c>
      <c r="D32" s="433" t="s">
        <v>451</v>
      </c>
      <c r="E32" s="844" t="str">
        <f>[3]mpdc2018!E50</f>
        <v>5-02-99-990</v>
      </c>
      <c r="F32" s="320">
        <v>49687.5</v>
      </c>
      <c r="G32" s="350">
        <v>50000</v>
      </c>
      <c r="H32" s="320">
        <v>0</v>
      </c>
      <c r="I32" s="320">
        <f t="shared" si="5"/>
        <v>49880</v>
      </c>
      <c r="J32" s="320">
        <v>49880</v>
      </c>
      <c r="K32" s="350">
        <v>19000</v>
      </c>
      <c r="L32" s="873"/>
      <c r="M32" s="806"/>
      <c r="N32" s="806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5.75" thickBot="1" x14ac:dyDescent="0.3">
      <c r="A33" s="813"/>
      <c r="B33" s="813"/>
      <c r="C33" s="1154" t="s">
        <v>21</v>
      </c>
      <c r="D33" s="1154"/>
      <c r="E33" s="832"/>
      <c r="F33" s="333">
        <f>SUM(F28:F32)</f>
        <v>575508.38</v>
      </c>
      <c r="G33" s="333">
        <f>SUM(G28:G32)</f>
        <v>600800</v>
      </c>
      <c r="H33" s="333">
        <f t="shared" ref="H33:J33" si="6">SUM(H28:H32)</f>
        <v>266902</v>
      </c>
      <c r="I33" s="333">
        <f t="shared" si="6"/>
        <v>384244</v>
      </c>
      <c r="J33" s="333">
        <f t="shared" si="6"/>
        <v>651146</v>
      </c>
      <c r="K33" s="333">
        <f>SUM(K28:K32)</f>
        <v>600800</v>
      </c>
      <c r="L33" s="873"/>
      <c r="M33" s="806"/>
      <c r="N33" s="806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4.25" customHeight="1" thickTop="1" x14ac:dyDescent="0.25">
      <c r="A34" s="845"/>
      <c r="B34" s="1160"/>
      <c r="C34" s="1159" t="s">
        <v>495</v>
      </c>
      <c r="D34" s="1159"/>
      <c r="E34" s="846"/>
      <c r="F34" s="847"/>
      <c r="G34" s="848"/>
      <c r="H34" s="848"/>
      <c r="I34" s="848"/>
      <c r="J34" s="848"/>
      <c r="K34" s="848"/>
      <c r="L34" s="873"/>
      <c r="M34" s="806"/>
      <c r="N34" s="806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x14ac:dyDescent="0.25">
      <c r="A35" s="129"/>
      <c r="B35" s="1161"/>
      <c r="C35" s="1162"/>
      <c r="D35" s="1162"/>
      <c r="E35" s="849"/>
      <c r="F35" s="850"/>
      <c r="G35" s="347"/>
      <c r="H35" s="347"/>
      <c r="I35" s="347"/>
      <c r="J35" s="347"/>
      <c r="K35" s="347"/>
      <c r="L35" s="873"/>
      <c r="M35" s="806"/>
      <c r="N35" s="806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x14ac:dyDescent="0.25">
      <c r="A36" s="851"/>
      <c r="B36" s="851"/>
      <c r="C36" s="852"/>
      <c r="D36" s="164" t="s">
        <v>434</v>
      </c>
      <c r="E36" s="97" t="s">
        <v>96</v>
      </c>
      <c r="F36" s="320">
        <v>207830</v>
      </c>
      <c r="G36" s="853">
        <v>112000</v>
      </c>
      <c r="H36" s="320">
        <v>71180</v>
      </c>
      <c r="I36" s="320">
        <f t="shared" ref="I36:I38" si="7">J36-H36</f>
        <v>39980</v>
      </c>
      <c r="J36" s="320">
        <v>111160</v>
      </c>
      <c r="K36" s="320">
        <v>135000</v>
      </c>
      <c r="L36" s="873"/>
      <c r="M36" s="806"/>
      <c r="N36" s="806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x14ac:dyDescent="0.25">
      <c r="A37" s="851"/>
      <c r="B37" s="851"/>
      <c r="C37" s="852"/>
      <c r="D37" s="433" t="s">
        <v>496</v>
      </c>
      <c r="E37" s="844" t="s">
        <v>497</v>
      </c>
      <c r="F37" s="320">
        <v>177466</v>
      </c>
      <c r="G37" s="853">
        <v>165000</v>
      </c>
      <c r="H37" s="320">
        <v>43550</v>
      </c>
      <c r="I37" s="320">
        <f t="shared" si="7"/>
        <v>115490</v>
      </c>
      <c r="J37" s="320">
        <v>159040</v>
      </c>
      <c r="K37" s="320">
        <v>165000</v>
      </c>
      <c r="L37" s="873"/>
      <c r="M37" s="806"/>
      <c r="N37" s="806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x14ac:dyDescent="0.25">
      <c r="A38" s="851"/>
      <c r="B38" s="851"/>
      <c r="C38" s="852"/>
      <c r="D38" s="433" t="s">
        <v>498</v>
      </c>
      <c r="E38" s="844" t="str">
        <f>'[4]2017-I &amp; E (2)'!$D$168</f>
        <v>5-02-13-040</v>
      </c>
      <c r="F38" s="320">
        <v>10364</v>
      </c>
      <c r="G38" s="853">
        <v>23000</v>
      </c>
      <c r="H38" s="320">
        <v>0</v>
      </c>
      <c r="I38" s="320">
        <f t="shared" si="7"/>
        <v>19900</v>
      </c>
      <c r="J38" s="320">
        <v>19900</v>
      </c>
      <c r="K38" s="320">
        <v>0</v>
      </c>
      <c r="L38" s="873"/>
      <c r="M38" s="806"/>
      <c r="N38" s="806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5.75" thickBot="1" x14ac:dyDescent="0.3">
      <c r="A39" s="813"/>
      <c r="B39" s="813"/>
      <c r="C39" s="1154" t="s">
        <v>21</v>
      </c>
      <c r="D39" s="1154"/>
      <c r="E39" s="832"/>
      <c r="F39" s="333">
        <f>SUM(F34:F38)</f>
        <v>395660</v>
      </c>
      <c r="G39" s="333">
        <f>SUM(G34:G38)</f>
        <v>300000</v>
      </c>
      <c r="H39" s="333">
        <f t="shared" ref="H39:J39" si="8">SUM(H34:H38)</f>
        <v>114730</v>
      </c>
      <c r="I39" s="333">
        <f t="shared" si="8"/>
        <v>175370</v>
      </c>
      <c r="J39" s="333">
        <f t="shared" si="8"/>
        <v>290100</v>
      </c>
      <c r="K39" s="333">
        <f>SUM(K34:K38)</f>
        <v>300000</v>
      </c>
      <c r="L39" s="873"/>
      <c r="M39" s="806"/>
      <c r="N39" s="806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5.75" thickTop="1" x14ac:dyDescent="0.25">
      <c r="A40" s="129"/>
      <c r="B40" s="851"/>
      <c r="C40" s="1159" t="s">
        <v>499</v>
      </c>
      <c r="D40" s="1159"/>
      <c r="E40" s="843"/>
      <c r="F40" s="854"/>
      <c r="G40" s="854"/>
      <c r="H40" s="854"/>
      <c r="I40" s="854"/>
      <c r="J40" s="854"/>
      <c r="K40" s="848"/>
      <c r="L40" s="873"/>
      <c r="M40" s="806"/>
      <c r="N40" s="806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x14ac:dyDescent="0.25">
      <c r="A41" s="851"/>
      <c r="B41" s="851"/>
      <c r="C41" s="852"/>
      <c r="D41" s="855" t="s">
        <v>500</v>
      </c>
      <c r="E41" s="844" t="s">
        <v>497</v>
      </c>
      <c r="F41" s="320">
        <v>14646</v>
      </c>
      <c r="G41" s="853">
        <v>44000</v>
      </c>
      <c r="H41" s="856">
        <v>23050</v>
      </c>
      <c r="I41" s="320">
        <f t="shared" ref="I41:I46" si="9">J41-H41</f>
        <v>20950</v>
      </c>
      <c r="J41" s="856">
        <v>44000</v>
      </c>
      <c r="K41" s="856">
        <v>44000</v>
      </c>
      <c r="L41" s="873"/>
      <c r="M41" s="806"/>
      <c r="N41" s="806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5" customHeight="1" x14ac:dyDescent="0.25">
      <c r="A42" s="851"/>
      <c r="B42" s="851"/>
      <c r="C42" s="857"/>
      <c r="D42" s="433" t="s">
        <v>501</v>
      </c>
      <c r="E42" s="844" t="s">
        <v>497</v>
      </c>
      <c r="F42" s="320">
        <v>8850</v>
      </c>
      <c r="G42" s="853">
        <v>12000</v>
      </c>
      <c r="H42" s="856">
        <v>0</v>
      </c>
      <c r="I42" s="320">
        <f t="shared" si="9"/>
        <v>13497</v>
      </c>
      <c r="J42" s="856">
        <v>13497</v>
      </c>
      <c r="K42" s="856">
        <v>10000</v>
      </c>
      <c r="L42" s="1166"/>
      <c r="M42" s="1167"/>
      <c r="N42" s="806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x14ac:dyDescent="0.25">
      <c r="A43" s="851"/>
      <c r="B43" s="851"/>
      <c r="C43" s="858"/>
      <c r="D43" s="433" t="s">
        <v>502</v>
      </c>
      <c r="E43" s="844" t="s">
        <v>497</v>
      </c>
      <c r="F43" s="320">
        <v>9952.25</v>
      </c>
      <c r="G43" s="853">
        <v>10000</v>
      </c>
      <c r="H43" s="856">
        <v>4800</v>
      </c>
      <c r="I43" s="320">
        <f t="shared" si="9"/>
        <v>5305</v>
      </c>
      <c r="J43" s="856">
        <v>10105</v>
      </c>
      <c r="K43" s="856">
        <v>6000</v>
      </c>
      <c r="L43" s="874"/>
      <c r="M43" s="806"/>
      <c r="N43" s="806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x14ac:dyDescent="0.25">
      <c r="A44" s="851"/>
      <c r="B44" s="851"/>
      <c r="C44" s="858"/>
      <c r="D44" s="433" t="s">
        <v>503</v>
      </c>
      <c r="E44" s="844" t="str">
        <f>'[2]MO(Misc.)'!$C$25</f>
        <v>5-02-03-090</v>
      </c>
      <c r="F44" s="320">
        <v>18895.95</v>
      </c>
      <c r="G44" s="853">
        <v>24000</v>
      </c>
      <c r="H44" s="856">
        <v>15751.32</v>
      </c>
      <c r="I44" s="320">
        <f t="shared" si="9"/>
        <v>2900</v>
      </c>
      <c r="J44" s="856">
        <v>18651.32</v>
      </c>
      <c r="K44" s="856">
        <v>10000</v>
      </c>
      <c r="L44" s="873"/>
      <c r="M44" s="806"/>
      <c r="N44" s="806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1:34" x14ac:dyDescent="0.25">
      <c r="A45" s="851"/>
      <c r="B45" s="851"/>
      <c r="C45" s="858"/>
      <c r="D45" s="433" t="s">
        <v>504</v>
      </c>
      <c r="E45" s="844" t="s">
        <v>497</v>
      </c>
      <c r="F45" s="320">
        <v>1000</v>
      </c>
      <c r="G45" s="853">
        <v>1000</v>
      </c>
      <c r="H45" s="856">
        <v>0</v>
      </c>
      <c r="I45" s="320">
        <f t="shared" si="9"/>
        <v>0</v>
      </c>
      <c r="J45" s="856">
        <v>0</v>
      </c>
      <c r="K45" s="856"/>
      <c r="L45" s="873"/>
      <c r="M45" s="806"/>
      <c r="N45" s="806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1:34" x14ac:dyDescent="0.25">
      <c r="A46" s="851"/>
      <c r="B46" s="851"/>
      <c r="C46" s="859"/>
      <c r="D46" s="860" t="s">
        <v>505</v>
      </c>
      <c r="E46" s="844" t="s">
        <v>497</v>
      </c>
      <c r="F46" s="320">
        <v>1000</v>
      </c>
      <c r="G46" s="853">
        <v>2000</v>
      </c>
      <c r="H46" s="856">
        <v>0</v>
      </c>
      <c r="I46" s="320">
        <f t="shared" si="9"/>
        <v>0</v>
      </c>
      <c r="J46" s="856"/>
      <c r="K46" s="856"/>
      <c r="L46" s="873"/>
      <c r="M46" s="806"/>
      <c r="N46" s="806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1:34" x14ac:dyDescent="0.25">
      <c r="A47" s="851"/>
      <c r="B47" s="851"/>
      <c r="C47" s="859"/>
      <c r="D47" s="860" t="s">
        <v>506</v>
      </c>
      <c r="E47" s="844" t="str">
        <f>'[2]MO(Misc.)'!$C$60</f>
        <v>5-02-13-050</v>
      </c>
      <c r="F47" s="320">
        <v>5081.62</v>
      </c>
      <c r="G47" s="853">
        <v>7000</v>
      </c>
      <c r="H47" s="320">
        <v>1371.65</v>
      </c>
      <c r="I47" s="320">
        <f>J47-H47</f>
        <v>3219.7499999999995</v>
      </c>
      <c r="J47" s="320">
        <v>4591.3999999999996</v>
      </c>
      <c r="K47" s="320">
        <v>7000</v>
      </c>
      <c r="L47" s="873"/>
      <c r="M47" s="806"/>
      <c r="N47" s="806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x14ac:dyDescent="0.25">
      <c r="A48" s="851"/>
      <c r="B48" s="851"/>
      <c r="C48" s="861"/>
      <c r="D48" s="433" t="s">
        <v>451</v>
      </c>
      <c r="E48" s="862" t="str">
        <f>E32</f>
        <v>5-02-99-990</v>
      </c>
      <c r="F48" s="863"/>
      <c r="G48" s="863"/>
      <c r="H48" s="863"/>
      <c r="I48" s="863"/>
      <c r="J48" s="863"/>
      <c r="K48" s="320">
        <v>23000</v>
      </c>
      <c r="L48" s="873"/>
      <c r="M48" s="806"/>
      <c r="N48" s="806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4" ht="15.75" thickBot="1" x14ac:dyDescent="0.3">
      <c r="A49" s="813"/>
      <c r="B49" s="813"/>
      <c r="C49" s="1154" t="s">
        <v>21</v>
      </c>
      <c r="D49" s="1154"/>
      <c r="E49" s="832"/>
      <c r="F49" s="333">
        <f>SUM(F41:F47)</f>
        <v>59425.82</v>
      </c>
      <c r="G49" s="333">
        <f>SUM(G41:G47)</f>
        <v>100000</v>
      </c>
      <c r="H49" s="333">
        <f>SUM(H41:H47)</f>
        <v>44972.97</v>
      </c>
      <c r="I49" s="333">
        <f>SUM(I41:I47)</f>
        <v>45871.75</v>
      </c>
      <c r="J49" s="333">
        <f>SUM(J41:J47)</f>
        <v>90844.72</v>
      </c>
      <c r="K49" s="333">
        <f>SUM(K41:K48)</f>
        <v>100000</v>
      </c>
      <c r="L49" s="873"/>
      <c r="M49" s="806"/>
      <c r="N49" s="806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4" ht="15.75" thickTop="1" x14ac:dyDescent="0.25">
      <c r="A50" s="129"/>
      <c r="B50" s="851"/>
      <c r="C50" s="1159" t="s">
        <v>507</v>
      </c>
      <c r="D50" s="1159"/>
      <c r="E50" s="843"/>
      <c r="F50" s="854"/>
      <c r="G50" s="854"/>
      <c r="H50" s="854"/>
      <c r="I50" s="854"/>
      <c r="J50" s="854"/>
      <c r="K50" s="311"/>
      <c r="L50" s="873"/>
      <c r="M50" s="806"/>
      <c r="N50" s="806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x14ac:dyDescent="0.25">
      <c r="A51" s="810"/>
      <c r="B51" s="810"/>
      <c r="C51" s="811"/>
      <c r="D51" s="433" t="s">
        <v>508</v>
      </c>
      <c r="E51" s="844" t="str">
        <f>'[2]MO(Misc.)'!$C$25</f>
        <v>5-02-03-090</v>
      </c>
      <c r="F51" s="320">
        <v>10169.5</v>
      </c>
      <c r="G51" s="350">
        <v>20000</v>
      </c>
      <c r="H51" s="320">
        <v>7243</v>
      </c>
      <c r="I51" s="320">
        <f t="shared" ref="I51:I53" si="10">J51-H51</f>
        <v>12756.400000000001</v>
      </c>
      <c r="J51" s="320">
        <v>19999.400000000001</v>
      </c>
      <c r="K51" s="350">
        <v>20000</v>
      </c>
      <c r="L51" s="873"/>
      <c r="M51" s="806"/>
      <c r="N51" s="806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4" x14ac:dyDescent="0.25">
      <c r="A52" s="810"/>
      <c r="B52" s="810"/>
      <c r="C52" s="811"/>
      <c r="D52" s="433" t="s">
        <v>490</v>
      </c>
      <c r="E52" s="844" t="s">
        <v>483</v>
      </c>
      <c r="F52" s="320"/>
      <c r="G52" s="350">
        <v>15000</v>
      </c>
      <c r="H52" s="320">
        <v>0</v>
      </c>
      <c r="I52" s="320">
        <f t="shared" si="10"/>
        <v>6436.24</v>
      </c>
      <c r="J52" s="320">
        <v>6436.24</v>
      </c>
      <c r="K52" s="350">
        <v>15000</v>
      </c>
      <c r="L52" s="74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x14ac:dyDescent="0.25">
      <c r="A53" s="810"/>
      <c r="B53" s="810"/>
      <c r="C53" s="811"/>
      <c r="D53" s="433" t="s">
        <v>509</v>
      </c>
      <c r="E53" s="844" t="str">
        <f>[3]mpdc2018!E47</f>
        <v>5-02-01-010</v>
      </c>
      <c r="F53" s="320">
        <v>35000</v>
      </c>
      <c r="G53" s="350">
        <v>15000</v>
      </c>
      <c r="H53" s="320">
        <v>0</v>
      </c>
      <c r="I53" s="320">
        <f t="shared" si="10"/>
        <v>14399</v>
      </c>
      <c r="J53" s="320">
        <v>14399</v>
      </c>
      <c r="K53" s="350">
        <v>15000</v>
      </c>
      <c r="L53" s="873"/>
      <c r="M53" s="806"/>
      <c r="N53" s="806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spans="1:34" s="248" customFormat="1" ht="15.75" thickBot="1" x14ac:dyDescent="0.3">
      <c r="A54" s="813"/>
      <c r="B54" s="813"/>
      <c r="C54" s="1154" t="s">
        <v>21</v>
      </c>
      <c r="D54" s="1154"/>
      <c r="E54" s="832"/>
      <c r="F54" s="333">
        <f>SUM(F51:F53)</f>
        <v>45169.5</v>
      </c>
      <c r="G54" s="333">
        <f>SUM(G51:G53)</f>
        <v>50000</v>
      </c>
      <c r="H54" s="333">
        <f t="shared" ref="H54:I54" si="11">SUM(H51:H53)</f>
        <v>7243</v>
      </c>
      <c r="I54" s="333">
        <f t="shared" si="11"/>
        <v>33591.64</v>
      </c>
      <c r="J54" s="333">
        <f>SUM(J51:J53)</f>
        <v>40834.639999999999</v>
      </c>
      <c r="K54" s="333">
        <f>SUM(K51:K53)</f>
        <v>50000</v>
      </c>
      <c r="L54" s="643"/>
      <c r="M54" s="425"/>
      <c r="N54" s="425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</row>
    <row r="55" spans="1:34" s="248" customFormat="1" ht="15.75" thickTop="1" x14ac:dyDescent="0.25">
      <c r="A55" s="838"/>
      <c r="B55" s="838"/>
      <c r="C55" s="1168" t="s">
        <v>510</v>
      </c>
      <c r="D55" s="1169"/>
      <c r="E55" s="864"/>
      <c r="F55" s="865"/>
      <c r="G55" s="865"/>
      <c r="H55" s="865"/>
      <c r="I55" s="865"/>
      <c r="J55" s="865"/>
      <c r="K55" s="865"/>
      <c r="L55" s="643"/>
      <c r="M55" s="425"/>
      <c r="N55" s="425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</row>
    <row r="56" spans="1:34" s="248" customFormat="1" x14ac:dyDescent="0.25">
      <c r="A56" s="810"/>
      <c r="B56" s="810"/>
      <c r="C56" s="852"/>
      <c r="D56" s="444" t="s">
        <v>511</v>
      </c>
      <c r="E56" s="168" t="s">
        <v>284</v>
      </c>
      <c r="F56" s="320">
        <v>50800</v>
      </c>
      <c r="G56" s="350">
        <v>52000</v>
      </c>
      <c r="H56" s="320">
        <v>25200</v>
      </c>
      <c r="I56" s="320">
        <f t="shared" ref="I56:I59" si="12">J56-H56</f>
        <v>25200</v>
      </c>
      <c r="J56" s="320">
        <v>50400</v>
      </c>
      <c r="K56" s="350">
        <v>52000</v>
      </c>
      <c r="L56" s="215"/>
      <c r="M56" s="215"/>
      <c r="N56" s="215"/>
    </row>
    <row r="57" spans="1:34" s="248" customFormat="1" x14ac:dyDescent="0.25">
      <c r="A57" s="810"/>
      <c r="B57" s="810"/>
      <c r="C57" s="852"/>
      <c r="D57" s="444" t="s">
        <v>512</v>
      </c>
      <c r="E57" s="168" t="s">
        <v>284</v>
      </c>
      <c r="F57" s="320">
        <v>59300</v>
      </c>
      <c r="G57" s="350">
        <v>73800</v>
      </c>
      <c r="H57" s="320">
        <v>25200</v>
      </c>
      <c r="I57" s="320">
        <f t="shared" si="12"/>
        <v>34990</v>
      </c>
      <c r="J57" s="320">
        <v>60190</v>
      </c>
      <c r="K57" s="350">
        <v>73800</v>
      </c>
      <c r="L57" s="215"/>
      <c r="M57" s="215"/>
      <c r="N57" s="215"/>
    </row>
    <row r="58" spans="1:34" s="248" customFormat="1" x14ac:dyDescent="0.25">
      <c r="A58" s="810"/>
      <c r="B58" s="810"/>
      <c r="C58" s="852"/>
      <c r="D58" s="444" t="s">
        <v>513</v>
      </c>
      <c r="E58" s="168" t="s">
        <v>284</v>
      </c>
      <c r="F58" s="320">
        <v>50000</v>
      </c>
      <c r="G58" s="350">
        <v>50000</v>
      </c>
      <c r="H58" s="320">
        <v>25200</v>
      </c>
      <c r="I58" s="320">
        <f t="shared" si="12"/>
        <v>24800</v>
      </c>
      <c r="J58" s="320">
        <v>50000</v>
      </c>
      <c r="K58" s="350">
        <v>50000</v>
      </c>
      <c r="L58" s="215"/>
      <c r="M58" s="215"/>
      <c r="N58" s="215"/>
    </row>
    <row r="59" spans="1:34" s="248" customFormat="1" x14ac:dyDescent="0.25">
      <c r="A59" s="810"/>
      <c r="B59" s="810"/>
      <c r="C59" s="852"/>
      <c r="D59" s="444" t="s">
        <v>514</v>
      </c>
      <c r="E59" s="168" t="s">
        <v>284</v>
      </c>
      <c r="F59" s="320">
        <v>37800</v>
      </c>
      <c r="G59" s="350">
        <v>37800</v>
      </c>
      <c r="H59" s="320">
        <v>15750</v>
      </c>
      <c r="I59" s="320">
        <f t="shared" si="12"/>
        <v>22050</v>
      </c>
      <c r="J59" s="320">
        <v>37800</v>
      </c>
      <c r="K59" s="320">
        <v>50000</v>
      </c>
      <c r="L59" s="215"/>
      <c r="M59" s="215"/>
      <c r="N59" s="215"/>
    </row>
    <row r="60" spans="1:34" s="248" customFormat="1" ht="15.75" thickBot="1" x14ac:dyDescent="0.3">
      <c r="A60" s="813"/>
      <c r="B60" s="813"/>
      <c r="C60" s="1154" t="s">
        <v>21</v>
      </c>
      <c r="D60" s="1154"/>
      <c r="E60" s="832"/>
      <c r="F60" s="333">
        <f>SUM(F56:F59)</f>
        <v>197900</v>
      </c>
      <c r="G60" s="333">
        <f>SUM(G56:G59)</f>
        <v>213600</v>
      </c>
      <c r="H60" s="333">
        <f t="shared" ref="H60:I60" si="13">SUM(H56:H59)</f>
        <v>91350</v>
      </c>
      <c r="I60" s="333">
        <f t="shared" si="13"/>
        <v>107040</v>
      </c>
      <c r="J60" s="333">
        <f>SUM(J56:J59)</f>
        <v>198390</v>
      </c>
      <c r="K60" s="333">
        <f>SUM(K56:K59)</f>
        <v>225800</v>
      </c>
      <c r="L60" s="215"/>
      <c r="M60" s="215"/>
      <c r="N60" s="215"/>
    </row>
    <row r="61" spans="1:34" ht="16.5" thickTop="1" thickBot="1" x14ac:dyDescent="0.3">
      <c r="A61" s="825"/>
      <c r="B61" s="826"/>
      <c r="C61" s="1170" t="s">
        <v>336</v>
      </c>
      <c r="D61" s="1170"/>
      <c r="E61" s="866"/>
      <c r="F61" s="342">
        <f>F19+F23+F26+F33+F39+F49+F54+F60</f>
        <v>1351659.85</v>
      </c>
      <c r="G61" s="342">
        <f>G19+G23+G26+G33+G39+G49+G54+G60</f>
        <v>1364400</v>
      </c>
      <c r="H61" s="342">
        <f t="shared" ref="H61:J61" si="14">H19+H23+H26+H33+H39+H49+H54+H60</f>
        <v>526897.97</v>
      </c>
      <c r="I61" s="342">
        <f t="shared" si="14"/>
        <v>844417.39</v>
      </c>
      <c r="J61" s="342">
        <f t="shared" si="14"/>
        <v>1371315.3599999999</v>
      </c>
      <c r="K61" s="342">
        <f>K19+K23+K26+K33+K39+K49+K54+K60</f>
        <v>1401600</v>
      </c>
      <c r="L61" s="222"/>
      <c r="M61" s="222"/>
      <c r="N61" s="284"/>
    </row>
    <row r="62" spans="1:34" ht="16.5" thickTop="1" thickBot="1" x14ac:dyDescent="0.3">
      <c r="A62" s="867"/>
      <c r="B62" s="868"/>
      <c r="C62" s="1170" t="s">
        <v>458</v>
      </c>
      <c r="D62" s="1170"/>
      <c r="E62" s="869"/>
      <c r="F62" s="358">
        <v>0</v>
      </c>
      <c r="G62" s="358">
        <v>0</v>
      </c>
      <c r="H62" s="358">
        <v>0</v>
      </c>
      <c r="I62" s="358"/>
      <c r="J62" s="358"/>
      <c r="K62" s="359">
        <v>0</v>
      </c>
      <c r="L62" s="222"/>
      <c r="M62" s="222"/>
      <c r="N62" s="284"/>
    </row>
    <row r="63" spans="1:34" ht="16.5" thickTop="1" thickBot="1" x14ac:dyDescent="0.3">
      <c r="A63" s="870"/>
      <c r="B63" s="870"/>
      <c r="C63" s="1171" t="s">
        <v>377</v>
      </c>
      <c r="D63" s="1171"/>
      <c r="E63" s="871"/>
      <c r="F63" s="872">
        <f>F61+F62</f>
        <v>1351659.85</v>
      </c>
      <c r="G63" s="872">
        <f t="shared" ref="G63:K63" si="15">G61+G62</f>
        <v>1364400</v>
      </c>
      <c r="H63" s="872">
        <f t="shared" si="15"/>
        <v>526897.97</v>
      </c>
      <c r="I63" s="872">
        <f t="shared" si="15"/>
        <v>844417.39</v>
      </c>
      <c r="J63" s="872">
        <f t="shared" si="15"/>
        <v>1371315.3599999999</v>
      </c>
      <c r="K63" s="872">
        <f t="shared" si="15"/>
        <v>1401600</v>
      </c>
      <c r="L63" s="25"/>
    </row>
    <row r="64" spans="1:34" ht="15.75" thickTop="1" x14ac:dyDescent="0.25">
      <c r="F64" s="37"/>
      <c r="G64" s="37"/>
      <c r="H64" s="37"/>
      <c r="I64" s="37"/>
      <c r="J64" s="37"/>
      <c r="K64" s="37"/>
      <c r="L64" s="25"/>
      <c r="P64" s="25"/>
    </row>
    <row r="65" spans="1:14" s="114" customFormat="1" ht="36.75" customHeight="1" x14ac:dyDescent="0.25">
      <c r="A65" s="1151" t="s">
        <v>515</v>
      </c>
      <c r="B65" s="1151"/>
      <c r="C65" s="1151"/>
      <c r="D65" s="1151"/>
      <c r="E65" s="1151"/>
      <c r="F65" s="1151"/>
      <c r="G65" s="1151"/>
      <c r="H65" s="1151"/>
      <c r="I65" s="1151"/>
      <c r="J65" s="1151"/>
      <c r="K65" s="1151"/>
      <c r="L65" s="363"/>
      <c r="N65" s="363"/>
    </row>
    <row r="66" spans="1:14" s="114" customFormat="1" ht="15.75" x14ac:dyDescent="0.25">
      <c r="D66" s="115"/>
      <c r="E66" s="115"/>
      <c r="H66" s="115"/>
      <c r="K66" s="115"/>
    </row>
    <row r="67" spans="1:14" s="114" customFormat="1" ht="34.5" customHeight="1" x14ac:dyDescent="0.25">
      <c r="D67" s="115"/>
      <c r="E67" s="115"/>
      <c r="H67" s="115"/>
      <c r="K67" s="115"/>
    </row>
    <row r="68" spans="1:14" s="114" customFormat="1" ht="15.75" x14ac:dyDescent="0.25">
      <c r="A68" s="217" t="s">
        <v>516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</row>
    <row r="69" spans="1:14" s="114" customFormat="1" ht="15.75" x14ac:dyDescent="0.25">
      <c r="A69" s="1151" t="s">
        <v>517</v>
      </c>
      <c r="B69" s="1151"/>
      <c r="C69" s="1151"/>
      <c r="D69" s="1151"/>
      <c r="E69" s="1151"/>
      <c r="F69" s="1151"/>
      <c r="G69" s="1151"/>
      <c r="H69" s="1151"/>
      <c r="I69" s="1151"/>
      <c r="J69" s="1151"/>
      <c r="K69" s="1151"/>
    </row>
    <row r="70" spans="1:14" ht="21" x14ac:dyDescent="0.3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4" ht="21" x14ac:dyDescent="0.3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</row>
  </sheetData>
  <sheetProtection algorithmName="SHA-512" hashValue="LtZezev/H5f5W0OQeyeZk5FpwA51Na+X7fOprZVYEXE0t16wqCdXZiEAOrbRzbK+U4Faojl3jpj92/OYX714wQ==" saltValue="7P3/acITpalh9a9Do2gu4g==" spinCount="100000" sheet="1" objects="1" scenarios="1" selectLockedCells="1" selectUnlockedCells="1"/>
  <mergeCells count="31">
    <mergeCell ref="L42:M42"/>
    <mergeCell ref="C49:D49"/>
    <mergeCell ref="C50:D50"/>
    <mergeCell ref="A69:K69"/>
    <mergeCell ref="C55:D55"/>
    <mergeCell ref="C60:D60"/>
    <mergeCell ref="C61:D61"/>
    <mergeCell ref="C62:D62"/>
    <mergeCell ref="C63:D63"/>
    <mergeCell ref="A65:K65"/>
    <mergeCell ref="C54:D54"/>
    <mergeCell ref="C40:D40"/>
    <mergeCell ref="B34:B35"/>
    <mergeCell ref="C34:D35"/>
    <mergeCell ref="C13:D13"/>
    <mergeCell ref="C14:D14"/>
    <mergeCell ref="C15:D15"/>
    <mergeCell ref="C19:D19"/>
    <mergeCell ref="C20:D20"/>
    <mergeCell ref="C23:D23"/>
    <mergeCell ref="C24:D24"/>
    <mergeCell ref="C26:D26"/>
    <mergeCell ref="C27:D27"/>
    <mergeCell ref="C33:D33"/>
    <mergeCell ref="C39:D39"/>
    <mergeCell ref="C12:D12"/>
    <mergeCell ref="A3:K3"/>
    <mergeCell ref="A4:K4"/>
    <mergeCell ref="C10:D10"/>
    <mergeCell ref="H10:I10"/>
    <mergeCell ref="C11:D11"/>
  </mergeCells>
  <conditionalFormatting sqref="D25:E25">
    <cfRule type="expression" dxfId="189" priority="34">
      <formula>ISNUMBER(SEARCH($A$2,D22))</formula>
    </cfRule>
  </conditionalFormatting>
  <conditionalFormatting sqref="C29:E32">
    <cfRule type="expression" dxfId="188" priority="33">
      <formula>ISNUMBER(SEARCH($A$2,#REF!))</formula>
    </cfRule>
  </conditionalFormatting>
  <conditionalFormatting sqref="C28:E28 C27">
    <cfRule type="expression" dxfId="187" priority="32">
      <formula>ISNUMBER(SEARCH($A$2,C24))</formula>
    </cfRule>
  </conditionalFormatting>
  <conditionalFormatting sqref="G31:G32">
    <cfRule type="expression" dxfId="186" priority="31">
      <formula>ISNUMBER(SEARCH($A$2,#REF!))</formula>
    </cfRule>
  </conditionalFormatting>
  <conditionalFormatting sqref="C34">
    <cfRule type="expression" dxfId="185" priority="30">
      <formula>ISNUMBER(SEARCH($A$2,C30))</formula>
    </cfRule>
  </conditionalFormatting>
  <conditionalFormatting sqref="D38:E38 D37">
    <cfRule type="expression" dxfId="184" priority="29">
      <formula>ISNUMBER(SEARCH($A$2,#REF!))</formula>
    </cfRule>
  </conditionalFormatting>
  <conditionalFormatting sqref="D36">
    <cfRule type="expression" dxfId="183" priority="28">
      <formula>ISNUMBER(SEARCH($A$2,D32))</formula>
    </cfRule>
  </conditionalFormatting>
  <conditionalFormatting sqref="G37:G38">
    <cfRule type="expression" dxfId="182" priority="27">
      <formula>ISNUMBER(SEARCH($A$2,#REF!))</formula>
    </cfRule>
  </conditionalFormatting>
  <conditionalFormatting sqref="G36">
    <cfRule type="expression" dxfId="181" priority="26">
      <formula>ISNUMBER(SEARCH($A$2,G32))</formula>
    </cfRule>
  </conditionalFormatting>
  <conditionalFormatting sqref="C40">
    <cfRule type="expression" dxfId="180" priority="25">
      <formula>ISNUMBER(SEARCH($A$2,C37))</formula>
    </cfRule>
  </conditionalFormatting>
  <conditionalFormatting sqref="D43:E43 D48 D42 D46:E47">
    <cfRule type="expression" dxfId="179" priority="24">
      <formula>ISNUMBER(SEARCH($A$2,#REF!))</formula>
    </cfRule>
  </conditionalFormatting>
  <conditionalFormatting sqref="D41:E41 E42">
    <cfRule type="expression" dxfId="178" priority="23">
      <formula>ISNUMBER(SEARCH($A$2,D35))</formula>
    </cfRule>
  </conditionalFormatting>
  <conditionalFormatting sqref="D44:E44 D45">
    <cfRule type="expression" dxfId="177" priority="22">
      <formula>ISNUMBER(SEARCH($A$2,D39))</formula>
    </cfRule>
  </conditionalFormatting>
  <conditionalFormatting sqref="G42:G43 G46:G47">
    <cfRule type="expression" dxfId="176" priority="21">
      <formula>ISNUMBER(SEARCH($A$2,#REF!))</formula>
    </cfRule>
  </conditionalFormatting>
  <conditionalFormatting sqref="G41">
    <cfRule type="expression" dxfId="175" priority="20">
      <formula>ISNUMBER(SEARCH($A$2,G35))</formula>
    </cfRule>
  </conditionalFormatting>
  <conditionalFormatting sqref="G44:G45">
    <cfRule type="expression" dxfId="174" priority="19">
      <formula>ISNUMBER(SEARCH($A$2,G39))</formula>
    </cfRule>
  </conditionalFormatting>
  <conditionalFormatting sqref="C50">
    <cfRule type="expression" dxfId="173" priority="18">
      <formula>ISNUMBER(SEARCH($A$2,C46))</formula>
    </cfRule>
  </conditionalFormatting>
  <conditionalFormatting sqref="D53:E53">
    <cfRule type="expression" dxfId="172" priority="17">
      <formula>ISNUMBER(SEARCH($A$2,#REF!))</formula>
    </cfRule>
  </conditionalFormatting>
  <conditionalFormatting sqref="D51:E52">
    <cfRule type="expression" dxfId="171" priority="16">
      <formula>ISNUMBER(SEARCH($A$2,D43))</formula>
    </cfRule>
  </conditionalFormatting>
  <conditionalFormatting sqref="G53">
    <cfRule type="expression" dxfId="170" priority="15">
      <formula>ISNUMBER(SEARCH($A$2,#REF!))</formula>
    </cfRule>
  </conditionalFormatting>
  <conditionalFormatting sqref="G51:G52">
    <cfRule type="expression" dxfId="169" priority="14">
      <formula>ISNUMBER(SEARCH($A$2,G43))</formula>
    </cfRule>
  </conditionalFormatting>
  <conditionalFormatting sqref="C55">
    <cfRule type="expression" dxfId="168" priority="13">
      <formula>ISNUMBER(SEARCH($A$2,C52))</formula>
    </cfRule>
  </conditionalFormatting>
  <conditionalFormatting sqref="D59 G59">
    <cfRule type="expression" dxfId="167" priority="12">
      <formula>ISNUMBER(SEARCH($A$2,D49))</formula>
    </cfRule>
  </conditionalFormatting>
  <conditionalFormatting sqref="D56">
    <cfRule type="expression" dxfId="166" priority="11">
      <formula>ISNUMBER(SEARCH($A$2,#REF!))</formula>
    </cfRule>
  </conditionalFormatting>
  <conditionalFormatting sqref="G56">
    <cfRule type="expression" dxfId="165" priority="10">
      <formula>ISNUMBER(SEARCH($A$2,#REF!))</formula>
    </cfRule>
  </conditionalFormatting>
  <conditionalFormatting sqref="K31:K32">
    <cfRule type="expression" dxfId="164" priority="9">
      <formula>ISNUMBER(SEARCH($A$2,#REF!))</formula>
    </cfRule>
  </conditionalFormatting>
  <conditionalFormatting sqref="D57:D58 G57:G58">
    <cfRule type="expression" dxfId="163" priority="35">
      <formula>ISNUMBER(SEARCH($A$2,D46))</formula>
    </cfRule>
  </conditionalFormatting>
  <conditionalFormatting sqref="K53">
    <cfRule type="expression" dxfId="162" priority="8">
      <formula>ISNUMBER(SEARCH($A$2,#REF!))</formula>
    </cfRule>
  </conditionalFormatting>
  <conditionalFormatting sqref="K51:K52">
    <cfRule type="expression" dxfId="161" priority="7">
      <formula>ISNUMBER(SEARCH($A$2,K43))</formula>
    </cfRule>
  </conditionalFormatting>
  <conditionalFormatting sqref="K56">
    <cfRule type="expression" dxfId="160" priority="5">
      <formula>ISNUMBER(SEARCH($A$2,#REF!))</formula>
    </cfRule>
  </conditionalFormatting>
  <conditionalFormatting sqref="K57:K58">
    <cfRule type="expression" dxfId="159" priority="6">
      <formula>ISNUMBER(SEARCH($A$2,K46))</formula>
    </cfRule>
  </conditionalFormatting>
  <conditionalFormatting sqref="E37">
    <cfRule type="expression" dxfId="158" priority="4">
      <formula>ISNUMBER(SEARCH($A$2,E31))</formula>
    </cfRule>
  </conditionalFormatting>
  <conditionalFormatting sqref="E45">
    <cfRule type="expression" dxfId="157" priority="3">
      <formula>ISNUMBER(SEARCH($A$2,#REF!))</formula>
    </cfRule>
  </conditionalFormatting>
  <conditionalFormatting sqref="E36">
    <cfRule type="expression" dxfId="156" priority="2">
      <formula>ISNUMBER(SEARCH($B$2,E29))</formula>
    </cfRule>
  </conditionalFormatting>
  <conditionalFormatting sqref="E56:E59">
    <cfRule type="expression" dxfId="155" priority="1">
      <formula>ISNUMBER(SEARCH($B$2,E51))</formula>
    </cfRule>
  </conditionalFormatting>
  <printOptions horizontalCentered="1"/>
  <pageMargins left="0.33" right="0" top="0.75" bottom="0.86" header="0" footer="0"/>
  <pageSetup scale="66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64"/>
  <sheetViews>
    <sheetView topLeftCell="A34" zoomScaleNormal="100" zoomScalePageLayoutView="95" workbookViewId="0">
      <selection activeCell="F55" sqref="F55"/>
    </sheetView>
  </sheetViews>
  <sheetFormatPr defaultRowHeight="15" x14ac:dyDescent="0.25"/>
  <cols>
    <col min="1" max="1" width="10.140625" style="159" customWidth="1"/>
    <col min="2" max="2" width="9.7109375" style="159" customWidth="1"/>
    <col min="3" max="3" width="2.28515625" style="159" customWidth="1"/>
    <col min="4" max="4" width="42.7109375" style="159" bestFit="1" customWidth="1"/>
    <col min="5" max="5" width="13.42578125" style="296" customWidth="1"/>
    <col min="6" max="6" width="13.42578125" style="159" customWidth="1"/>
    <col min="7" max="7" width="13.42578125" style="159" hidden="1" customWidth="1"/>
    <col min="8" max="11" width="13.42578125" style="159" customWidth="1"/>
    <col min="12" max="12" width="15.140625" style="159" bestFit="1" customWidth="1"/>
    <col min="13" max="13" width="11.5703125" style="159" bestFit="1" customWidth="1"/>
    <col min="14" max="14" width="14.28515625" style="159" bestFit="1" customWidth="1"/>
    <col min="15" max="15" width="9.140625" style="159"/>
    <col min="16" max="16" width="14.28515625" style="159" bestFit="1" customWidth="1"/>
    <col min="17" max="16384" width="9.140625" style="159"/>
  </cols>
  <sheetData>
    <row r="1" spans="1:14" x14ac:dyDescent="0.25">
      <c r="A1" s="159" t="s">
        <v>318</v>
      </c>
      <c r="K1" s="159" t="s">
        <v>319</v>
      </c>
    </row>
    <row r="3" spans="1:14" s="114" customFormat="1" ht="15.75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  <c r="I3" s="1069"/>
      <c r="J3" s="1069"/>
      <c r="K3" s="1069"/>
      <c r="L3" s="217"/>
      <c r="M3" s="217"/>
      <c r="N3" s="217"/>
    </row>
    <row r="4" spans="1:14" s="114" customFormat="1" ht="15.75" x14ac:dyDescent="0.25">
      <c r="A4" s="1069" t="s">
        <v>380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</row>
    <row r="5" spans="1:14" s="114" customFormat="1" ht="15.75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4" s="114" customFormat="1" ht="15.75" x14ac:dyDescent="0.25">
      <c r="A6" s="586" t="s">
        <v>518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4" s="114" customFormat="1" ht="15.75" x14ac:dyDescent="0.25">
      <c r="A7" s="118" t="s">
        <v>519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4" s="114" customFormat="1" ht="15.75" x14ac:dyDescent="0.25">
      <c r="A8" s="118" t="s">
        <v>157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4" ht="21" x14ac:dyDescent="0.35">
      <c r="A9" s="119"/>
      <c r="B9" s="119"/>
      <c r="C9" s="119"/>
      <c r="D9" s="119"/>
      <c r="E9" s="297"/>
      <c r="F9" s="119"/>
      <c r="G9" s="119"/>
      <c r="H9" s="119"/>
      <c r="I9" s="119"/>
      <c r="J9" s="119"/>
      <c r="K9" s="119"/>
    </row>
    <row r="10" spans="1:14" ht="45" x14ac:dyDescent="0.25">
      <c r="A10" s="209" t="s">
        <v>323</v>
      </c>
      <c r="B10" s="127" t="s">
        <v>324</v>
      </c>
      <c r="C10" s="1075" t="s">
        <v>325</v>
      </c>
      <c r="D10" s="1071"/>
      <c r="E10" s="207" t="s">
        <v>1</v>
      </c>
      <c r="F10" s="127" t="s">
        <v>2</v>
      </c>
      <c r="G10" s="127"/>
      <c r="H10" s="1075" t="s">
        <v>327</v>
      </c>
      <c r="I10" s="1076"/>
      <c r="J10" s="1071"/>
      <c r="K10" s="127" t="s">
        <v>3</v>
      </c>
      <c r="L10" s="222"/>
      <c r="M10" s="222"/>
      <c r="N10" s="222"/>
    </row>
    <row r="11" spans="1:14" ht="50.25" customHeight="1" x14ac:dyDescent="0.25">
      <c r="A11" s="129"/>
      <c r="B11" s="129"/>
      <c r="C11" s="1096"/>
      <c r="D11" s="1072"/>
      <c r="E11" s="208"/>
      <c r="F11" s="129" t="s">
        <v>4</v>
      </c>
      <c r="G11" s="129" t="s">
        <v>475</v>
      </c>
      <c r="H11" s="209" t="s">
        <v>328</v>
      </c>
      <c r="I11" s="209" t="s">
        <v>45</v>
      </c>
      <c r="J11" s="209" t="s">
        <v>21</v>
      </c>
      <c r="K11" s="129" t="s">
        <v>6</v>
      </c>
      <c r="L11" s="222"/>
      <c r="M11" s="222"/>
      <c r="N11" s="222"/>
    </row>
    <row r="12" spans="1:14" x14ac:dyDescent="0.25">
      <c r="A12" s="129"/>
      <c r="B12" s="129"/>
      <c r="C12" s="1096"/>
      <c r="D12" s="1072"/>
      <c r="E12" s="208"/>
      <c r="F12" s="129"/>
      <c r="G12" s="129"/>
      <c r="H12" s="129" t="s">
        <v>4</v>
      </c>
      <c r="I12" s="129" t="s">
        <v>7</v>
      </c>
      <c r="J12" s="129"/>
      <c r="K12" s="129"/>
      <c r="L12" s="222"/>
      <c r="M12" s="222"/>
      <c r="N12" s="222"/>
    </row>
    <row r="13" spans="1:14" x14ac:dyDescent="0.25">
      <c r="A13" s="129"/>
      <c r="B13" s="129"/>
      <c r="C13" s="1096"/>
      <c r="D13" s="1072"/>
      <c r="E13" s="208"/>
      <c r="F13" s="129">
        <v>2017</v>
      </c>
      <c r="G13" s="129"/>
      <c r="H13" s="129">
        <v>2018</v>
      </c>
      <c r="I13" s="129">
        <v>2018</v>
      </c>
      <c r="J13" s="129"/>
      <c r="K13" s="129">
        <v>2019</v>
      </c>
      <c r="L13" s="222"/>
      <c r="M13" s="222"/>
      <c r="N13" s="222"/>
    </row>
    <row r="14" spans="1:14" x14ac:dyDescent="0.25">
      <c r="A14" s="305">
        <v>1</v>
      </c>
      <c r="B14" s="305">
        <v>2</v>
      </c>
      <c r="C14" s="1163">
        <v>3</v>
      </c>
      <c r="D14" s="1164"/>
      <c r="E14" s="304"/>
      <c r="F14" s="305">
        <v>4</v>
      </c>
      <c r="G14" s="305"/>
      <c r="H14" s="305">
        <v>5</v>
      </c>
      <c r="I14" s="305">
        <v>6</v>
      </c>
      <c r="J14" s="305">
        <v>7</v>
      </c>
      <c r="K14" s="305">
        <v>8</v>
      </c>
      <c r="L14" s="222"/>
      <c r="M14" s="222"/>
      <c r="N14" s="222"/>
    </row>
    <row r="15" spans="1:14" x14ac:dyDescent="0.25">
      <c r="A15" s="127"/>
      <c r="B15" s="127"/>
      <c r="C15" s="1172" t="s">
        <v>520</v>
      </c>
      <c r="D15" s="1172"/>
      <c r="E15" s="875"/>
      <c r="F15" s="876">
        <v>774025.39</v>
      </c>
      <c r="G15" s="876"/>
      <c r="H15" s="876"/>
      <c r="I15" s="876">
        <f>J15-H15</f>
        <v>0</v>
      </c>
      <c r="J15" s="876"/>
      <c r="K15" s="688"/>
      <c r="L15" s="222"/>
      <c r="M15" s="222"/>
      <c r="N15" s="222"/>
    </row>
    <row r="16" spans="1:14" x14ac:dyDescent="0.25">
      <c r="A16" s="810"/>
      <c r="B16" s="810"/>
      <c r="C16" s="811"/>
      <c r="D16" s="823" t="s">
        <v>434</v>
      </c>
      <c r="E16" s="200" t="s">
        <v>521</v>
      </c>
      <c r="F16" s="320"/>
      <c r="G16" s="352">
        <v>564000</v>
      </c>
      <c r="H16" s="320">
        <v>304315</v>
      </c>
      <c r="I16" s="320">
        <f>J16-H16</f>
        <v>259270</v>
      </c>
      <c r="J16" s="320">
        <v>563585</v>
      </c>
      <c r="K16" s="198">
        <v>700000</v>
      </c>
      <c r="L16" s="222"/>
      <c r="M16" s="222"/>
      <c r="N16" s="222"/>
    </row>
    <row r="17" spans="1:14" x14ac:dyDescent="0.25">
      <c r="A17" s="810"/>
      <c r="B17" s="810"/>
      <c r="C17" s="811"/>
      <c r="D17" s="812" t="s">
        <v>522</v>
      </c>
      <c r="E17" s="319" t="str">
        <f>'[2]MO(Misc.)'!$C$25</f>
        <v>5-02-03-090</v>
      </c>
      <c r="F17" s="320"/>
      <c r="G17" s="352">
        <v>80000</v>
      </c>
      <c r="H17" s="320">
        <v>12341.58</v>
      </c>
      <c r="I17" s="320">
        <f t="shared" ref="I17:I19" si="0">J17-H17</f>
        <v>34630.6</v>
      </c>
      <c r="J17" s="320">
        <v>46972.18</v>
      </c>
      <c r="K17" s="198">
        <v>50000</v>
      </c>
      <c r="L17" s="222"/>
      <c r="M17" s="222"/>
      <c r="N17" s="222"/>
    </row>
    <row r="18" spans="1:14" x14ac:dyDescent="0.25">
      <c r="A18" s="810"/>
      <c r="B18" s="810"/>
      <c r="C18" s="811"/>
      <c r="D18" s="877" t="s">
        <v>490</v>
      </c>
      <c r="E18" s="319" t="str">
        <f>[3]AGRI!E30</f>
        <v>5-01-03-990</v>
      </c>
      <c r="F18" s="320"/>
      <c r="G18" s="352">
        <v>50000</v>
      </c>
      <c r="H18" s="320">
        <v>14122</v>
      </c>
      <c r="I18" s="320">
        <f t="shared" si="0"/>
        <v>43201.06</v>
      </c>
      <c r="J18" s="320">
        <v>57323.06</v>
      </c>
      <c r="K18" s="198">
        <v>20000</v>
      </c>
      <c r="L18" s="222"/>
      <c r="M18" s="222"/>
      <c r="N18" s="222"/>
    </row>
    <row r="19" spans="1:14" x14ac:dyDescent="0.25">
      <c r="A19" s="810"/>
      <c r="B19" s="810"/>
      <c r="C19" s="811"/>
      <c r="D19" s="812" t="s">
        <v>451</v>
      </c>
      <c r="E19" s="319" t="str">
        <f>[3]mpdc2018!E41</f>
        <v>5-02-99-990</v>
      </c>
      <c r="F19" s="320"/>
      <c r="G19" s="352">
        <v>50000</v>
      </c>
      <c r="H19" s="320"/>
      <c r="I19" s="320">
        <f t="shared" si="0"/>
        <v>49480</v>
      </c>
      <c r="J19" s="320">
        <v>49480</v>
      </c>
      <c r="K19" s="198">
        <v>35000</v>
      </c>
      <c r="L19" s="222"/>
      <c r="M19" s="222"/>
      <c r="N19" s="222"/>
    </row>
    <row r="20" spans="1:14" s="248" customFormat="1" ht="15.75" thickBot="1" x14ac:dyDescent="0.3">
      <c r="A20" s="813"/>
      <c r="B20" s="813"/>
      <c r="C20" s="1154" t="s">
        <v>21</v>
      </c>
      <c r="D20" s="1154"/>
      <c r="E20" s="322"/>
      <c r="F20" s="333">
        <f>SUM(F15:F19)</f>
        <v>774025.39</v>
      </c>
      <c r="G20" s="333">
        <f t="shared" ref="G20:I20" si="1">SUM(G15:G19)</f>
        <v>744000</v>
      </c>
      <c r="H20" s="333">
        <f t="shared" si="1"/>
        <v>330778.58</v>
      </c>
      <c r="I20" s="333">
        <f t="shared" si="1"/>
        <v>386581.66</v>
      </c>
      <c r="J20" s="333">
        <f>SUM(J15:J19)</f>
        <v>717360.24</v>
      </c>
      <c r="K20" s="333">
        <f>SUM(K15:K19)</f>
        <v>805000</v>
      </c>
      <c r="L20" s="215"/>
      <c r="M20" s="215"/>
      <c r="N20" s="215"/>
    </row>
    <row r="21" spans="1:14" ht="15.75" thickTop="1" x14ac:dyDescent="0.25">
      <c r="A21" s="814"/>
      <c r="B21" s="814"/>
      <c r="C21" s="1173" t="s">
        <v>523</v>
      </c>
      <c r="D21" s="1174"/>
      <c r="E21" s="313"/>
      <c r="F21" s="314">
        <v>130162.88</v>
      </c>
      <c r="G21" s="314"/>
      <c r="H21" s="314"/>
      <c r="I21" s="314">
        <f>J21-H21</f>
        <v>0</v>
      </c>
      <c r="J21" s="314"/>
      <c r="K21" s="315"/>
      <c r="L21" s="222"/>
      <c r="M21" s="222"/>
      <c r="N21" s="222"/>
    </row>
    <row r="22" spans="1:14" x14ac:dyDescent="0.25">
      <c r="A22" s="810"/>
      <c r="B22" s="810"/>
      <c r="C22" s="811"/>
      <c r="D22" s="812" t="s">
        <v>434</v>
      </c>
      <c r="E22" s="200" t="s">
        <v>521</v>
      </c>
      <c r="F22" s="320"/>
      <c r="G22" s="198">
        <v>134640</v>
      </c>
      <c r="H22" s="198">
        <v>40790</v>
      </c>
      <c r="I22" s="320">
        <f>J22-H22</f>
        <v>97870</v>
      </c>
      <c r="J22" s="320">
        <v>138660</v>
      </c>
      <c r="K22" s="198">
        <v>134640</v>
      </c>
      <c r="L22" s="222"/>
      <c r="M22" s="222"/>
      <c r="N22" s="222"/>
    </row>
    <row r="23" spans="1:14" x14ac:dyDescent="0.25">
      <c r="A23" s="810"/>
      <c r="B23" s="810"/>
      <c r="C23" s="811"/>
      <c r="D23" s="812" t="s">
        <v>490</v>
      </c>
      <c r="E23" s="319" t="str">
        <f>E18</f>
        <v>5-01-03-990</v>
      </c>
      <c r="F23" s="320"/>
      <c r="G23" s="198">
        <f>15000-9640</f>
        <v>5360</v>
      </c>
      <c r="H23" s="198">
        <v>1362.7</v>
      </c>
      <c r="I23" s="320">
        <f t="shared" ref="I23:I24" si="2">J23-H23</f>
        <v>1356.8</v>
      </c>
      <c r="J23" s="320">
        <v>2719.5</v>
      </c>
      <c r="K23" s="198">
        <f>15000-9640</f>
        <v>5360</v>
      </c>
      <c r="L23" s="222"/>
      <c r="M23" s="222"/>
      <c r="N23" s="222"/>
    </row>
    <row r="24" spans="1:14" x14ac:dyDescent="0.25">
      <c r="A24" s="810"/>
      <c r="B24" s="810"/>
      <c r="C24" s="811"/>
      <c r="D24" s="812" t="s">
        <v>451</v>
      </c>
      <c r="E24" s="319" t="str">
        <f>E19</f>
        <v>5-02-99-990</v>
      </c>
      <c r="F24" s="320"/>
      <c r="G24" s="198">
        <v>60000</v>
      </c>
      <c r="H24" s="198">
        <v>0</v>
      </c>
      <c r="I24" s="320">
        <f t="shared" si="2"/>
        <v>54793.5</v>
      </c>
      <c r="J24" s="320">
        <v>54793.5</v>
      </c>
      <c r="K24" s="198">
        <v>60000</v>
      </c>
      <c r="L24" s="222"/>
      <c r="M24" s="222"/>
      <c r="N24" s="222"/>
    </row>
    <row r="25" spans="1:14" s="36" customFormat="1" ht="15.75" thickBot="1" x14ac:dyDescent="0.3">
      <c r="A25" s="813"/>
      <c r="B25" s="813"/>
      <c r="C25" s="1154" t="s">
        <v>21</v>
      </c>
      <c r="D25" s="1154"/>
      <c r="E25" s="322"/>
      <c r="F25" s="333">
        <f>SUM(F21:F24)</f>
        <v>130162.88</v>
      </c>
      <c r="G25" s="333">
        <f>SUM(G21:G24)</f>
        <v>200000</v>
      </c>
      <c r="H25" s="333">
        <f t="shared" ref="H25:I25" si="3">SUM(H21:H24)</f>
        <v>42152.7</v>
      </c>
      <c r="I25" s="333">
        <f t="shared" si="3"/>
        <v>154020.29999999999</v>
      </c>
      <c r="J25" s="333">
        <f>SUM(J21:J24)</f>
        <v>196173</v>
      </c>
      <c r="K25" s="333">
        <f>SUM(K21:K24)</f>
        <v>200000</v>
      </c>
      <c r="L25" s="752"/>
      <c r="M25" s="752"/>
      <c r="N25" s="752"/>
    </row>
    <row r="26" spans="1:14" ht="15.75" thickTop="1" x14ac:dyDescent="0.25">
      <c r="A26" s="810"/>
      <c r="B26" s="810"/>
      <c r="C26" s="1175" t="s">
        <v>524</v>
      </c>
      <c r="D26" s="1176"/>
      <c r="E26" s="878"/>
      <c r="F26" s="320">
        <v>109747.75</v>
      </c>
      <c r="G26" s="320"/>
      <c r="H26" s="320"/>
      <c r="I26" s="320">
        <f>J26-H26</f>
        <v>0</v>
      </c>
      <c r="J26" s="320"/>
      <c r="K26" s="863"/>
      <c r="L26" s="222"/>
      <c r="M26" s="222"/>
      <c r="N26" s="222"/>
    </row>
    <row r="27" spans="1:14" x14ac:dyDescent="0.25">
      <c r="A27" s="810"/>
      <c r="B27" s="810"/>
      <c r="C27" s="811"/>
      <c r="D27" s="812" t="s">
        <v>434</v>
      </c>
      <c r="E27" s="200" t="s">
        <v>521</v>
      </c>
      <c r="F27" s="320"/>
      <c r="G27" s="198">
        <v>60000</v>
      </c>
      <c r="H27" s="198">
        <v>54330</v>
      </c>
      <c r="I27" s="320">
        <f t="shared" ref="I27:I28" si="4">J27-H27</f>
        <v>11200</v>
      </c>
      <c r="J27" s="320">
        <v>65530</v>
      </c>
      <c r="K27" s="192">
        <v>80000</v>
      </c>
      <c r="L27" s="222"/>
      <c r="M27" s="222"/>
      <c r="N27" s="222"/>
    </row>
    <row r="28" spans="1:14" x14ac:dyDescent="0.25">
      <c r="A28" s="810"/>
      <c r="B28" s="810"/>
      <c r="C28" s="811"/>
      <c r="D28" s="812" t="s">
        <v>490</v>
      </c>
      <c r="E28" s="319" t="str">
        <f>E23</f>
        <v>5-01-03-990</v>
      </c>
      <c r="F28" s="320"/>
      <c r="G28" s="198">
        <v>30000</v>
      </c>
      <c r="H28" s="198">
        <v>15074.4</v>
      </c>
      <c r="I28" s="320">
        <f t="shared" si="4"/>
        <v>5600.0000000000018</v>
      </c>
      <c r="J28" s="320">
        <v>20674.400000000001</v>
      </c>
      <c r="K28" s="192">
        <v>20000</v>
      </c>
      <c r="L28" s="222"/>
      <c r="M28" s="222"/>
      <c r="N28" s="222"/>
    </row>
    <row r="29" spans="1:14" x14ac:dyDescent="0.25">
      <c r="A29" s="810"/>
      <c r="B29" s="810"/>
      <c r="C29" s="811"/>
      <c r="D29" s="812" t="s">
        <v>451</v>
      </c>
      <c r="E29" s="319" t="str">
        <f>E24</f>
        <v>5-02-99-990</v>
      </c>
      <c r="F29" s="320"/>
      <c r="G29" s="320">
        <v>20000</v>
      </c>
      <c r="H29" s="320">
        <v>0</v>
      </c>
      <c r="I29" s="320">
        <f>J29-H29</f>
        <v>16800</v>
      </c>
      <c r="J29" s="320">
        <v>16800</v>
      </c>
      <c r="K29" s="192">
        <v>10000</v>
      </c>
      <c r="L29" s="222"/>
      <c r="M29" s="222"/>
      <c r="N29" s="222"/>
    </row>
    <row r="30" spans="1:14" ht="15.75" thickBot="1" x14ac:dyDescent="0.3">
      <c r="A30" s="813"/>
      <c r="B30" s="813"/>
      <c r="C30" s="1154" t="s">
        <v>21</v>
      </c>
      <c r="D30" s="1154"/>
      <c r="E30" s="322"/>
      <c r="F30" s="333">
        <f>SUM(F26:F29)</f>
        <v>109747.75</v>
      </c>
      <c r="G30" s="333">
        <f>SUM(G26:G29)</f>
        <v>110000</v>
      </c>
      <c r="H30" s="333">
        <f t="shared" ref="H30:J30" si="5">SUM(H26:H29)</f>
        <v>69404.399999999994</v>
      </c>
      <c r="I30" s="333">
        <f t="shared" si="5"/>
        <v>33600</v>
      </c>
      <c r="J30" s="333">
        <f t="shared" si="5"/>
        <v>103004.4</v>
      </c>
      <c r="K30" s="333">
        <f>SUM(K26:K29)</f>
        <v>110000</v>
      </c>
      <c r="L30" s="222"/>
      <c r="M30" s="222"/>
      <c r="N30" s="222"/>
    </row>
    <row r="31" spans="1:14" ht="15.75" thickTop="1" x14ac:dyDescent="0.25">
      <c r="A31" s="810"/>
      <c r="B31" s="810"/>
      <c r="C31" s="1175" t="s">
        <v>525</v>
      </c>
      <c r="D31" s="1176"/>
      <c r="E31" s="878"/>
      <c r="F31" s="320"/>
      <c r="G31" s="320"/>
      <c r="H31" s="320"/>
      <c r="I31" s="320"/>
      <c r="J31" s="320"/>
      <c r="K31" s="198"/>
      <c r="L31" s="222"/>
      <c r="M31" s="222"/>
      <c r="N31" s="222"/>
    </row>
    <row r="32" spans="1:14" x14ac:dyDescent="0.25">
      <c r="A32" s="810"/>
      <c r="B32" s="810"/>
      <c r="C32" s="811"/>
      <c r="D32" s="812" t="s">
        <v>526</v>
      </c>
      <c r="E32" s="319" t="s">
        <v>103</v>
      </c>
      <c r="F32" s="879"/>
      <c r="G32" s="880">
        <v>100000</v>
      </c>
      <c r="H32" s="879">
        <v>24585</v>
      </c>
      <c r="I32" s="320">
        <f t="shared" ref="I32:I34" si="6">J32-H32</f>
        <v>21826</v>
      </c>
      <c r="J32" s="879">
        <v>46411</v>
      </c>
      <c r="K32" s="198">
        <v>100000</v>
      </c>
      <c r="L32" s="222"/>
      <c r="M32" s="222"/>
      <c r="N32" s="222"/>
    </row>
    <row r="33" spans="1:16" x14ac:dyDescent="0.25">
      <c r="A33" s="810"/>
      <c r="B33" s="810"/>
      <c r="C33" s="811"/>
      <c r="D33" s="812" t="s">
        <v>435</v>
      </c>
      <c r="E33" s="319" t="str">
        <f>[3]mpdc2018!E47</f>
        <v>5-02-01-010</v>
      </c>
      <c r="F33" s="879"/>
      <c r="G33" s="879"/>
      <c r="H33" s="879"/>
      <c r="I33" s="320">
        <f t="shared" si="6"/>
        <v>0</v>
      </c>
      <c r="J33" s="879"/>
      <c r="K33" s="198"/>
      <c r="L33" s="222"/>
      <c r="M33" s="222"/>
      <c r="N33" s="222"/>
    </row>
    <row r="34" spans="1:16" x14ac:dyDescent="0.25">
      <c r="A34" s="810"/>
      <c r="B34" s="810"/>
      <c r="C34" s="811"/>
      <c r="D34" s="812" t="s">
        <v>493</v>
      </c>
      <c r="E34" s="319" t="str">
        <f>'[2]SB(S)'!$C$33</f>
        <v>5-02-02-010</v>
      </c>
      <c r="F34" s="879"/>
      <c r="G34" s="879"/>
      <c r="H34" s="879"/>
      <c r="I34" s="320">
        <f t="shared" si="6"/>
        <v>0</v>
      </c>
      <c r="J34" s="879"/>
      <c r="K34" s="198"/>
      <c r="L34" s="222"/>
      <c r="M34" s="222"/>
      <c r="N34" s="222"/>
    </row>
    <row r="35" spans="1:16" ht="15.75" thickBot="1" x14ac:dyDescent="0.3">
      <c r="A35" s="813"/>
      <c r="B35" s="813"/>
      <c r="C35" s="1154" t="s">
        <v>21</v>
      </c>
      <c r="D35" s="1154"/>
      <c r="E35" s="322"/>
      <c r="F35" s="333">
        <f>SUM(F31:F34)</f>
        <v>0</v>
      </c>
      <c r="G35" s="333">
        <f t="shared" ref="G35:I35" si="7">SUM(G31:G34)</f>
        <v>100000</v>
      </c>
      <c r="H35" s="333">
        <f t="shared" si="7"/>
        <v>24585</v>
      </c>
      <c r="I35" s="333">
        <f t="shared" si="7"/>
        <v>21826</v>
      </c>
      <c r="J35" s="333">
        <f>SUM(J31:J34)</f>
        <v>46411</v>
      </c>
      <c r="K35" s="333">
        <f>SUM(K31:K34)</f>
        <v>100000</v>
      </c>
      <c r="L35" s="222"/>
      <c r="M35" s="222"/>
      <c r="N35" s="222"/>
    </row>
    <row r="36" spans="1:16" ht="15.75" thickTop="1" x14ac:dyDescent="0.25">
      <c r="A36" s="810"/>
      <c r="B36" s="810"/>
      <c r="C36" s="1175" t="s">
        <v>527</v>
      </c>
      <c r="D36" s="1176"/>
      <c r="E36" s="878"/>
      <c r="F36" s="320">
        <v>607687.23</v>
      </c>
      <c r="G36" s="320"/>
      <c r="H36" s="320"/>
      <c r="I36" s="320">
        <f>J36-H36</f>
        <v>0</v>
      </c>
      <c r="J36" s="320"/>
      <c r="K36" s="604"/>
      <c r="L36" s="222"/>
      <c r="M36" s="222"/>
      <c r="N36" s="222"/>
    </row>
    <row r="37" spans="1:16" x14ac:dyDescent="0.25">
      <c r="A37" s="810"/>
      <c r="B37" s="810"/>
      <c r="C37" s="852"/>
      <c r="D37" s="812" t="s">
        <v>434</v>
      </c>
      <c r="E37" s="881" t="s">
        <v>521</v>
      </c>
      <c r="F37" s="320"/>
      <c r="G37" s="320"/>
      <c r="H37" s="320"/>
      <c r="I37" s="320"/>
      <c r="J37" s="320"/>
      <c r="K37" s="198">
        <v>700000</v>
      </c>
      <c r="L37" s="760"/>
      <c r="M37" s="222"/>
      <c r="N37" s="222"/>
    </row>
    <row r="38" spans="1:16" x14ac:dyDescent="0.25">
      <c r="A38" s="810"/>
      <c r="B38" s="810"/>
      <c r="C38" s="811"/>
      <c r="D38" s="882" t="s">
        <v>528</v>
      </c>
      <c r="E38" s="319" t="str">
        <f>E17</f>
        <v>5-02-03-090</v>
      </c>
      <c r="F38" s="320"/>
      <c r="G38" s="198">
        <v>50000</v>
      </c>
      <c r="H38" s="198">
        <v>7205.88</v>
      </c>
      <c r="I38" s="320">
        <f t="shared" ref="I38:I40" si="8">J38-H38</f>
        <v>30311.899999999998</v>
      </c>
      <c r="J38" s="320">
        <v>37517.78</v>
      </c>
      <c r="K38" s="192">
        <v>100000</v>
      </c>
      <c r="L38" s="222"/>
      <c r="M38" s="222"/>
      <c r="N38" s="222"/>
    </row>
    <row r="39" spans="1:16" x14ac:dyDescent="0.25">
      <c r="A39" s="810"/>
      <c r="B39" s="810"/>
      <c r="C39" s="811"/>
      <c r="D39" s="812" t="s">
        <v>451</v>
      </c>
      <c r="E39" s="319" t="str">
        <f>E29</f>
        <v>5-02-99-990</v>
      </c>
      <c r="F39" s="320"/>
      <c r="G39" s="198"/>
      <c r="H39" s="198"/>
      <c r="I39" s="320"/>
      <c r="J39" s="320"/>
      <c r="K39" s="192">
        <v>50000</v>
      </c>
      <c r="L39" s="222"/>
      <c r="M39" s="222"/>
      <c r="N39" s="222"/>
    </row>
    <row r="40" spans="1:16" x14ac:dyDescent="0.25">
      <c r="A40" s="810"/>
      <c r="B40" s="810"/>
      <c r="C40" s="811"/>
      <c r="D40" s="812" t="s">
        <v>529</v>
      </c>
      <c r="E40" s="319"/>
      <c r="F40" s="320"/>
      <c r="G40" s="198">
        <v>800000</v>
      </c>
      <c r="H40" s="198">
        <v>412242.47</v>
      </c>
      <c r="I40" s="320">
        <f t="shared" si="8"/>
        <v>386321.5</v>
      </c>
      <c r="J40" s="320">
        <v>798563.97</v>
      </c>
      <c r="K40" s="192"/>
      <c r="L40" s="222"/>
      <c r="M40" s="222"/>
      <c r="N40" s="222"/>
    </row>
    <row r="41" spans="1:16" ht="15.75" thickBot="1" x14ac:dyDescent="0.3">
      <c r="A41" s="813"/>
      <c r="B41" s="813"/>
      <c r="C41" s="1154" t="s">
        <v>21</v>
      </c>
      <c r="D41" s="1154"/>
      <c r="E41" s="322"/>
      <c r="F41" s="883">
        <f t="shared" ref="F41:I41" si="9">SUM(F36:F40)</f>
        <v>607687.23</v>
      </c>
      <c r="G41" s="883">
        <f t="shared" si="9"/>
        <v>850000</v>
      </c>
      <c r="H41" s="883">
        <f t="shared" si="9"/>
        <v>419448.35</v>
      </c>
      <c r="I41" s="883">
        <f t="shared" si="9"/>
        <v>416633.4</v>
      </c>
      <c r="J41" s="883">
        <f>SUM(J36:J40)</f>
        <v>836081.75</v>
      </c>
      <c r="K41" s="883">
        <f>SUM(K36:K40)</f>
        <v>850000</v>
      </c>
      <c r="L41" s="884"/>
      <c r="M41" s="222"/>
      <c r="N41" s="222"/>
    </row>
    <row r="42" spans="1:16" ht="16.5" thickTop="1" thickBot="1" x14ac:dyDescent="0.3">
      <c r="A42" s="867"/>
      <c r="B42" s="868"/>
      <c r="C42" s="1170" t="s">
        <v>336</v>
      </c>
      <c r="D42" s="1170"/>
      <c r="E42" s="357"/>
      <c r="F42" s="359">
        <f t="shared" ref="F42:J42" si="10">F20+F25+F30+F35+F41</f>
        <v>1621623.25</v>
      </c>
      <c r="G42" s="359">
        <f t="shared" si="10"/>
        <v>2004000</v>
      </c>
      <c r="H42" s="359">
        <f t="shared" si="10"/>
        <v>886369.03</v>
      </c>
      <c r="I42" s="359">
        <f t="shared" si="10"/>
        <v>1012661.36</v>
      </c>
      <c r="J42" s="359">
        <f t="shared" si="10"/>
        <v>1899030.3900000001</v>
      </c>
      <c r="K42" s="359">
        <f>K20+K25+K30+K35+K41</f>
        <v>2065000</v>
      </c>
      <c r="L42" s="284"/>
      <c r="M42" s="222"/>
      <c r="N42" s="222"/>
    </row>
    <row r="43" spans="1:16" ht="16.5" thickTop="1" thickBot="1" x14ac:dyDescent="0.3">
      <c r="A43" s="867"/>
      <c r="B43" s="868"/>
      <c r="C43" s="1170" t="s">
        <v>458</v>
      </c>
      <c r="D43" s="1177"/>
      <c r="E43" s="357"/>
      <c r="F43" s="358">
        <v>0</v>
      </c>
      <c r="G43" s="358"/>
      <c r="H43" s="358">
        <v>0</v>
      </c>
      <c r="I43" s="358"/>
      <c r="J43" s="358"/>
      <c r="K43" s="885">
        <v>0</v>
      </c>
      <c r="L43" s="222"/>
      <c r="M43" s="222"/>
      <c r="N43" s="222"/>
    </row>
    <row r="44" spans="1:16" s="36" customFormat="1" ht="16.5" thickTop="1" thickBot="1" x14ac:dyDescent="0.3">
      <c r="A44" s="870"/>
      <c r="B44" s="870"/>
      <c r="C44" s="1170" t="s">
        <v>377</v>
      </c>
      <c r="D44" s="1178"/>
      <c r="E44" s="886"/>
      <c r="F44" s="872">
        <f>F42+F43</f>
        <v>1621623.25</v>
      </c>
      <c r="G44" s="872">
        <f t="shared" ref="G44:I44" si="11">G42+G43</f>
        <v>2004000</v>
      </c>
      <c r="H44" s="872">
        <f t="shared" si="11"/>
        <v>886369.03</v>
      </c>
      <c r="I44" s="872">
        <f t="shared" si="11"/>
        <v>1012661.36</v>
      </c>
      <c r="J44" s="872">
        <f>J42+J43</f>
        <v>1899030.3900000001</v>
      </c>
      <c r="K44" s="872">
        <f>K42+K43</f>
        <v>2065000</v>
      </c>
      <c r="L44" s="139"/>
      <c r="M44" s="139"/>
    </row>
    <row r="45" spans="1:16" ht="15.75" thickTop="1" x14ac:dyDescent="0.25">
      <c r="F45" s="37"/>
      <c r="G45" s="37"/>
      <c r="H45" s="37"/>
      <c r="I45" s="37"/>
      <c r="J45" s="37"/>
      <c r="K45" s="37"/>
      <c r="L45" s="25"/>
      <c r="P45" s="25"/>
    </row>
    <row r="46" spans="1:16" s="114" customFormat="1" ht="36.75" customHeight="1" x14ac:dyDescent="0.25">
      <c r="A46" s="1151" t="s">
        <v>530</v>
      </c>
      <c r="B46" s="1151"/>
      <c r="C46" s="1151"/>
      <c r="D46" s="1151"/>
      <c r="E46" s="1151"/>
      <c r="F46" s="1151"/>
      <c r="G46" s="1151"/>
      <c r="H46" s="1151"/>
      <c r="I46" s="1151"/>
      <c r="J46" s="1151"/>
      <c r="K46" s="1151"/>
      <c r="N46" s="363"/>
    </row>
    <row r="47" spans="1:16" s="114" customFormat="1" ht="15.75" x14ac:dyDescent="0.25">
      <c r="D47" s="115"/>
      <c r="E47" s="364"/>
      <c r="H47" s="115"/>
      <c r="K47" s="115"/>
    </row>
    <row r="48" spans="1:16" s="114" customFormat="1" ht="41.25" customHeight="1" x14ac:dyDescent="0.25">
      <c r="D48" s="115"/>
      <c r="E48" s="364"/>
      <c r="H48" s="115"/>
      <c r="K48" s="115"/>
    </row>
    <row r="49" spans="1:13" s="114" customFormat="1" ht="15.75" x14ac:dyDescent="0.25">
      <c r="A49" s="1150" t="s">
        <v>531</v>
      </c>
      <c r="B49" s="1150"/>
      <c r="C49" s="1150"/>
      <c r="D49" s="1150"/>
      <c r="E49" s="1150"/>
      <c r="F49" s="1150"/>
      <c r="G49" s="1150"/>
      <c r="H49" s="1150"/>
      <c r="I49" s="1150"/>
      <c r="J49" s="1150"/>
      <c r="K49" s="1150"/>
      <c r="L49" s="363"/>
    </row>
    <row r="50" spans="1:13" s="114" customFormat="1" ht="15.75" x14ac:dyDescent="0.25">
      <c r="A50" s="1151" t="s">
        <v>532</v>
      </c>
      <c r="B50" s="1151"/>
      <c r="C50" s="1151"/>
      <c r="D50" s="1151"/>
      <c r="E50" s="1151"/>
      <c r="F50" s="1151"/>
      <c r="G50" s="1151"/>
      <c r="H50" s="1151"/>
      <c r="I50" s="1151"/>
      <c r="J50" s="1151"/>
      <c r="K50" s="1151"/>
    </row>
    <row r="51" spans="1:13" s="114" customFormat="1" ht="15.75" x14ac:dyDescent="0.25">
      <c r="E51" s="365"/>
    </row>
    <row r="52" spans="1:13" ht="21" x14ac:dyDescent="0.35">
      <c r="A52" s="119"/>
      <c r="B52" s="119"/>
      <c r="C52" s="119"/>
      <c r="D52" s="119"/>
      <c r="E52" s="297"/>
      <c r="F52" s="119"/>
      <c r="G52" s="119"/>
      <c r="H52" s="119"/>
      <c r="I52" s="119"/>
      <c r="J52" s="119"/>
      <c r="K52" s="119"/>
      <c r="L52" s="119"/>
    </row>
    <row r="53" spans="1:13" ht="21" x14ac:dyDescent="0.35">
      <c r="A53" s="119"/>
      <c r="B53" s="119"/>
      <c r="C53" s="119"/>
      <c r="D53" s="119"/>
      <c r="E53" s="297"/>
      <c r="F53" s="119"/>
      <c r="G53" s="119"/>
      <c r="H53" s="119"/>
      <c r="I53" s="119"/>
      <c r="J53" s="119"/>
      <c r="K53" s="119"/>
      <c r="L53" s="119"/>
    </row>
    <row r="54" spans="1:13" ht="21" x14ac:dyDescent="0.35">
      <c r="A54" s="119"/>
      <c r="B54" s="119"/>
      <c r="C54" s="119"/>
      <c r="D54" s="119"/>
      <c r="E54" s="297"/>
      <c r="F54" s="119"/>
      <c r="G54" s="119"/>
      <c r="H54" s="119"/>
      <c r="I54" s="119"/>
      <c r="J54" s="119"/>
      <c r="K54" s="119"/>
      <c r="L54" s="119"/>
    </row>
    <row r="55" spans="1:13" x14ac:dyDescent="0.25">
      <c r="F55" s="37"/>
      <c r="G55" s="37"/>
      <c r="H55" s="37"/>
      <c r="I55" s="37"/>
      <c r="J55" s="37"/>
      <c r="K55" s="37"/>
      <c r="L55" s="37"/>
      <c r="M55" s="37"/>
    </row>
    <row r="56" spans="1:13" x14ac:dyDescent="0.25">
      <c r="F56" s="25"/>
      <c r="G56" s="887"/>
    </row>
    <row r="57" spans="1:13" x14ac:dyDescent="0.25">
      <c r="G57" s="25"/>
    </row>
    <row r="59" spans="1:13" x14ac:dyDescent="0.25">
      <c r="G59" s="25"/>
    </row>
    <row r="61" spans="1:13" x14ac:dyDescent="0.25">
      <c r="H61" s="37"/>
    </row>
    <row r="62" spans="1:13" x14ac:dyDescent="0.25">
      <c r="H62" s="25"/>
    </row>
    <row r="64" spans="1:13" x14ac:dyDescent="0.25">
      <c r="H64" s="25"/>
    </row>
  </sheetData>
  <sheetProtection algorithmName="SHA-512" hashValue="Qq1k/dKtinekqK7Wl5H908c4iVOJxN5c0uP4VtPP5G0hArXYCJkFtOYB3ufCwDRMh83vSS3MMp9qPQ2c7GgKOQ==" saltValue="YwTm7cXN00TBunQLl4Qlag==" spinCount="100000" sheet="1" objects="1" scenarios="1" selectLockedCells="1" selectUnlockedCells="1"/>
  <mergeCells count="24">
    <mergeCell ref="A50:K50"/>
    <mergeCell ref="C26:D26"/>
    <mergeCell ref="C30:D30"/>
    <mergeCell ref="C31:D31"/>
    <mergeCell ref="C35:D35"/>
    <mergeCell ref="C36:D36"/>
    <mergeCell ref="C41:D41"/>
    <mergeCell ref="C42:D42"/>
    <mergeCell ref="C43:D43"/>
    <mergeCell ref="C44:D44"/>
    <mergeCell ref="A46:K46"/>
    <mergeCell ref="A49:K49"/>
    <mergeCell ref="C25:D25"/>
    <mergeCell ref="A3:K3"/>
    <mergeCell ref="A4:K4"/>
    <mergeCell ref="C10:D10"/>
    <mergeCell ref="H10:J10"/>
    <mergeCell ref="C11:D11"/>
    <mergeCell ref="C12:D12"/>
    <mergeCell ref="C13:D13"/>
    <mergeCell ref="C14:D14"/>
    <mergeCell ref="C15:D15"/>
    <mergeCell ref="C20:D20"/>
    <mergeCell ref="C21:D21"/>
  </mergeCells>
  <conditionalFormatting sqref="G16:G19">
    <cfRule type="expression" dxfId="154" priority="2">
      <formula>ISNUMBER(SEARCH($A$2,G1048567))</formula>
    </cfRule>
  </conditionalFormatting>
  <conditionalFormatting sqref="G32">
    <cfRule type="expression" dxfId="153" priority="1">
      <formula>ISNUMBER(SEARCH($A$2,G1))</formula>
    </cfRule>
  </conditionalFormatting>
  <printOptions horizontalCentered="1"/>
  <pageMargins left="0.36" right="0" top="0.75" bottom="0" header="0" footer="0"/>
  <pageSetup scale="65" orientation="portrait" r:id="rId1"/>
  <colBreaks count="1" manualBreakCount="1">
    <brk id="11" max="1048575" man="1"/>
  </col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71"/>
  <sheetViews>
    <sheetView topLeftCell="A46" zoomScaleNormal="100" workbookViewId="0">
      <selection activeCell="B66" sqref="B66"/>
    </sheetView>
  </sheetViews>
  <sheetFormatPr defaultRowHeight="15" x14ac:dyDescent="0.25"/>
  <cols>
    <col min="1" max="1" width="3.85546875" style="36" customWidth="1"/>
    <col min="2" max="2" width="44.28515625" style="36" customWidth="1"/>
    <col min="3" max="7" width="13.28515625" style="36" customWidth="1"/>
    <col min="8" max="8" width="15.42578125" style="36" customWidth="1"/>
    <col min="9" max="9" width="17.85546875" style="36" customWidth="1"/>
    <col min="10" max="10" width="13.7109375" style="36" bestFit="1" customWidth="1"/>
    <col min="11" max="16384" width="9.140625" style="36"/>
  </cols>
  <sheetData>
    <row r="1" spans="1:9" ht="15" customHeight="1" x14ac:dyDescent="0.25">
      <c r="A1" s="36" t="s">
        <v>9</v>
      </c>
      <c r="H1" s="159" t="s">
        <v>27</v>
      </c>
    </row>
    <row r="2" spans="1:9" ht="15.75" customHeight="1" x14ac:dyDescent="0.25">
      <c r="H2" s="159"/>
    </row>
    <row r="3" spans="1:9" s="114" customFormat="1" ht="15" customHeight="1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</row>
    <row r="4" spans="1:9" s="114" customFormat="1" ht="15.75" customHeight="1" x14ac:dyDescent="0.25">
      <c r="A4" s="1181" t="s">
        <v>47</v>
      </c>
      <c r="B4" s="1181"/>
      <c r="C4" s="1181"/>
      <c r="D4" s="1181"/>
      <c r="E4" s="1181"/>
      <c r="F4" s="1181"/>
      <c r="G4" s="1181"/>
      <c r="H4" s="1181"/>
    </row>
    <row r="5" spans="1:9" s="114" customFormat="1" ht="21" customHeight="1" x14ac:dyDescent="0.25">
      <c r="A5" s="1182" t="s">
        <v>641</v>
      </c>
      <c r="B5" s="1182"/>
      <c r="C5" s="1182"/>
      <c r="D5" s="1182"/>
      <c r="E5" s="1182"/>
      <c r="F5" s="1182"/>
      <c r="G5" s="1182"/>
      <c r="H5" s="1182"/>
    </row>
    <row r="6" spans="1:9" s="114" customFormat="1" ht="21" customHeight="1" x14ac:dyDescent="0.25">
      <c r="A6" s="1181" t="s">
        <v>642</v>
      </c>
      <c r="B6" s="1181"/>
      <c r="C6" s="1181"/>
      <c r="D6" s="1181"/>
      <c r="E6" s="1181"/>
      <c r="F6" s="1181"/>
      <c r="G6" s="1181"/>
      <c r="H6" s="1181"/>
    </row>
    <row r="8" spans="1:9" ht="18" customHeight="1" x14ac:dyDescent="0.25">
      <c r="A8" s="122"/>
      <c r="B8" s="1071" t="s">
        <v>0</v>
      </c>
      <c r="C8" s="1073" t="s">
        <v>1</v>
      </c>
      <c r="D8" s="127"/>
      <c r="E8" s="1075" t="s">
        <v>8</v>
      </c>
      <c r="F8" s="1076"/>
      <c r="G8" s="1071"/>
      <c r="H8" s="127" t="s">
        <v>3</v>
      </c>
    </row>
    <row r="9" spans="1:9" ht="45" x14ac:dyDescent="0.25">
      <c r="A9" s="124"/>
      <c r="B9" s="1072"/>
      <c r="C9" s="1074"/>
      <c r="D9" s="210" t="s">
        <v>607</v>
      </c>
      <c r="E9" s="209" t="s">
        <v>28</v>
      </c>
      <c r="F9" s="209" t="s">
        <v>30</v>
      </c>
      <c r="G9" s="127" t="s">
        <v>5</v>
      </c>
      <c r="H9" s="129" t="s">
        <v>6</v>
      </c>
    </row>
    <row r="10" spans="1:9" x14ac:dyDescent="0.25">
      <c r="A10" s="124"/>
      <c r="B10" s="208"/>
      <c r="C10" s="129"/>
      <c r="D10" s="129"/>
      <c r="E10" s="129" t="s">
        <v>4</v>
      </c>
      <c r="F10" s="129" t="s">
        <v>7</v>
      </c>
      <c r="G10" s="129"/>
      <c r="H10" s="129"/>
    </row>
    <row r="11" spans="1:9" x14ac:dyDescent="0.25">
      <c r="A11" s="124"/>
      <c r="B11" s="208"/>
      <c r="C11" s="129"/>
      <c r="D11" s="129">
        <v>2017</v>
      </c>
      <c r="E11" s="129">
        <v>2018</v>
      </c>
      <c r="F11" s="129">
        <v>2018</v>
      </c>
      <c r="G11" s="129"/>
      <c r="H11" s="129">
        <v>2019</v>
      </c>
    </row>
    <row r="12" spans="1:9" x14ac:dyDescent="0.25">
      <c r="A12" s="131"/>
      <c r="B12" s="132">
        <v>1</v>
      </c>
      <c r="C12" s="214">
        <v>2</v>
      </c>
      <c r="D12" s="214">
        <v>3</v>
      </c>
      <c r="E12" s="214">
        <v>4</v>
      </c>
      <c r="F12" s="214">
        <v>5</v>
      </c>
      <c r="G12" s="214">
        <v>6</v>
      </c>
      <c r="H12" s="214">
        <v>7</v>
      </c>
    </row>
    <row r="13" spans="1:9" ht="28.5" customHeight="1" x14ac:dyDescent="0.25">
      <c r="A13" s="1191" t="s">
        <v>643</v>
      </c>
      <c r="B13" s="1192"/>
      <c r="C13" s="1193"/>
      <c r="D13" s="1195"/>
      <c r="E13" s="1195">
        <v>18700</v>
      </c>
      <c r="F13" s="1188">
        <f>G13-E13</f>
        <v>27300</v>
      </c>
      <c r="G13" s="1195">
        <v>46000</v>
      </c>
      <c r="H13" s="1183">
        <v>40000</v>
      </c>
    </row>
    <row r="14" spans="1:9" ht="30" x14ac:dyDescent="0.25">
      <c r="A14" s="124"/>
      <c r="B14" s="943" t="s">
        <v>644</v>
      </c>
      <c r="C14" s="1194"/>
      <c r="D14" s="1196"/>
      <c r="E14" s="1196"/>
      <c r="F14" s="1189"/>
      <c r="G14" s="1196"/>
      <c r="H14" s="1184"/>
      <c r="I14" s="139">
        <f>G13-E13-F13</f>
        <v>0</v>
      </c>
    </row>
    <row r="15" spans="1:9" ht="32.25" customHeight="1" x14ac:dyDescent="0.25">
      <c r="A15" s="1185" t="s">
        <v>645</v>
      </c>
      <c r="B15" s="1186"/>
      <c r="C15" s="1187"/>
      <c r="D15" s="1187"/>
      <c r="E15" s="1187"/>
      <c r="F15" s="1188">
        <f>G15-E15</f>
        <v>15000</v>
      </c>
      <c r="G15" s="1187">
        <v>15000</v>
      </c>
      <c r="H15" s="1190">
        <v>15000</v>
      </c>
      <c r="I15" s="139">
        <f>G15-F15-E15</f>
        <v>0</v>
      </c>
    </row>
    <row r="16" spans="1:9" x14ac:dyDescent="0.25">
      <c r="A16" s="944"/>
      <c r="B16" s="945" t="s">
        <v>646</v>
      </c>
      <c r="C16" s="1187"/>
      <c r="D16" s="1187"/>
      <c r="E16" s="1187"/>
      <c r="F16" s="1189"/>
      <c r="G16" s="1187"/>
      <c r="H16" s="1190"/>
    </row>
    <row r="17" spans="1:11" ht="36" customHeight="1" x14ac:dyDescent="0.25">
      <c r="A17" s="1179" t="s">
        <v>647</v>
      </c>
      <c r="B17" s="1180"/>
      <c r="C17" s="946"/>
      <c r="D17" s="947"/>
      <c r="E17" s="947"/>
      <c r="F17" s="947"/>
      <c r="G17" s="947"/>
      <c r="H17" s="948"/>
    </row>
    <row r="18" spans="1:11" ht="18" customHeight="1" x14ac:dyDescent="0.25">
      <c r="A18" s="124"/>
      <c r="B18" s="949" t="s">
        <v>648</v>
      </c>
      <c r="C18" s="950" t="s">
        <v>543</v>
      </c>
      <c r="D18" s="420"/>
      <c r="E18" s="420">
        <v>29964</v>
      </c>
      <c r="F18" s="420">
        <f>G18-E18</f>
        <v>68014</v>
      </c>
      <c r="G18" s="420">
        <v>97978</v>
      </c>
      <c r="H18" s="420">
        <v>96000</v>
      </c>
      <c r="I18" s="159"/>
    </row>
    <row r="19" spans="1:11" ht="18" customHeight="1" x14ac:dyDescent="0.25">
      <c r="A19" s="124"/>
      <c r="B19" s="951" t="s">
        <v>649</v>
      </c>
      <c r="C19" s="952" t="str">
        <f>'[2]MO(Misc.)'!$C$27</f>
        <v>5-02-13-060</v>
      </c>
      <c r="D19" s="420"/>
      <c r="E19" s="420">
        <v>0</v>
      </c>
      <c r="F19" s="420"/>
      <c r="G19" s="420"/>
      <c r="H19" s="420">
        <v>100000</v>
      </c>
      <c r="I19" s="159"/>
    </row>
    <row r="20" spans="1:11" x14ac:dyDescent="0.25">
      <c r="A20" s="124"/>
      <c r="B20" s="953" t="s">
        <v>650</v>
      </c>
      <c r="C20" s="952"/>
      <c r="D20" s="255"/>
      <c r="E20" s="420">
        <v>8886.89</v>
      </c>
      <c r="F20" s="420">
        <f t="shared" ref="F20:F22" si="0">G20-E20</f>
        <v>26659.93</v>
      </c>
      <c r="G20" s="420">
        <v>35546.82</v>
      </c>
      <c r="H20" s="420">
        <v>150136.34</v>
      </c>
      <c r="I20" s="159"/>
    </row>
    <row r="21" spans="1:11" x14ac:dyDescent="0.25">
      <c r="A21" s="124"/>
      <c r="B21" s="953" t="s">
        <v>651</v>
      </c>
      <c r="C21" s="952" t="s">
        <v>118</v>
      </c>
      <c r="D21" s="255"/>
      <c r="E21" s="255">
        <v>6518.87</v>
      </c>
      <c r="F21" s="420">
        <f t="shared" si="0"/>
        <v>13481.130000000001</v>
      </c>
      <c r="G21" s="420">
        <v>20000</v>
      </c>
      <c r="H21" s="420">
        <v>20000</v>
      </c>
    </row>
    <row r="22" spans="1:11" x14ac:dyDescent="0.25">
      <c r="A22" s="124"/>
      <c r="B22" s="954" t="s">
        <v>652</v>
      </c>
      <c r="C22" s="955" t="str">
        <f>'[2]SB(S)'!$C$36</f>
        <v>5-02-12-990</v>
      </c>
      <c r="D22" s="418"/>
      <c r="E22" s="418">
        <v>102860</v>
      </c>
      <c r="F22" s="956">
        <f t="shared" si="0"/>
        <v>13770</v>
      </c>
      <c r="G22" s="957">
        <v>116630</v>
      </c>
      <c r="H22" s="957">
        <v>118000</v>
      </c>
    </row>
    <row r="23" spans="1:11" x14ac:dyDescent="0.25">
      <c r="A23" s="54"/>
      <c r="B23" s="954"/>
      <c r="C23" s="955"/>
      <c r="D23" s="229">
        <f t="shared" ref="D23:H23" si="1">SUM(D18:D22)</f>
        <v>0</v>
      </c>
      <c r="E23" s="229">
        <f>SUM(E18:E22)</f>
        <v>148229.76000000001</v>
      </c>
      <c r="F23" s="229">
        <f t="shared" si="1"/>
        <v>121925.06</v>
      </c>
      <c r="G23" s="229">
        <f t="shared" si="1"/>
        <v>270154.82</v>
      </c>
      <c r="H23" s="229">
        <f t="shared" si="1"/>
        <v>484136.33999999997</v>
      </c>
    </row>
    <row r="24" spans="1:11" ht="21" customHeight="1" x14ac:dyDescent="0.25">
      <c r="A24" s="958" t="s">
        <v>653</v>
      </c>
      <c r="B24" s="959"/>
      <c r="C24" s="946"/>
      <c r="D24" s="242"/>
      <c r="E24" s="242"/>
      <c r="F24" s="947"/>
      <c r="G24" s="947"/>
      <c r="H24" s="960"/>
    </row>
    <row r="25" spans="1:11" ht="30" x14ac:dyDescent="0.25">
      <c r="A25" s="124"/>
      <c r="B25" s="961" t="s">
        <v>654</v>
      </c>
      <c r="C25" s="952"/>
      <c r="D25" s="255"/>
      <c r="E25" s="962"/>
      <c r="F25" s="420"/>
      <c r="G25" s="420"/>
      <c r="H25" s="420">
        <v>0</v>
      </c>
      <c r="J25" s="533"/>
      <c r="K25" s="151"/>
    </row>
    <row r="26" spans="1:11" ht="30" x14ac:dyDescent="0.25">
      <c r="A26" s="124"/>
      <c r="B26" s="963" t="s">
        <v>655</v>
      </c>
      <c r="C26" s="952"/>
      <c r="D26" s="255"/>
      <c r="E26" s="255"/>
      <c r="F26" s="420">
        <f>G26-E26</f>
        <v>10000</v>
      </c>
      <c r="G26" s="419">
        <v>10000</v>
      </c>
      <c r="H26" s="419">
        <v>30000</v>
      </c>
      <c r="J26" s="441"/>
      <c r="K26" s="151"/>
    </row>
    <row r="27" spans="1:11" ht="18.75" customHeight="1" x14ac:dyDescent="0.25">
      <c r="A27" s="124"/>
      <c r="B27" s="964" t="s">
        <v>656</v>
      </c>
      <c r="C27" s="965"/>
      <c r="D27" s="962"/>
      <c r="E27" s="420"/>
      <c r="F27" s="420">
        <f t="shared" ref="F27:F29" si="2">G27-E27</f>
        <v>20000</v>
      </c>
      <c r="G27" s="420">
        <v>20000</v>
      </c>
      <c r="H27" s="420">
        <v>70000</v>
      </c>
      <c r="I27" s="966"/>
      <c r="J27" s="151"/>
    </row>
    <row r="28" spans="1:11" ht="20.25" customHeight="1" x14ac:dyDescent="0.25">
      <c r="A28" s="124"/>
      <c r="B28" s="967" t="s">
        <v>657</v>
      </c>
      <c r="C28" s="965"/>
      <c r="D28" s="962"/>
      <c r="E28" s="420"/>
      <c r="F28" s="420">
        <f t="shared" si="2"/>
        <v>10000</v>
      </c>
      <c r="G28" s="420">
        <v>10000</v>
      </c>
      <c r="H28" s="420"/>
      <c r="I28" s="966"/>
      <c r="J28" s="151"/>
    </row>
    <row r="29" spans="1:11" ht="21" customHeight="1" x14ac:dyDescent="0.25">
      <c r="A29" s="124"/>
      <c r="B29" s="967" t="s">
        <v>658</v>
      </c>
      <c r="C29" s="965"/>
      <c r="D29" s="962"/>
      <c r="E29" s="420"/>
      <c r="F29" s="420">
        <f t="shared" si="2"/>
        <v>6241.26</v>
      </c>
      <c r="G29" s="420">
        <v>6241.26</v>
      </c>
      <c r="H29" s="420">
        <v>50000</v>
      </c>
      <c r="I29" s="966"/>
      <c r="J29" s="151"/>
    </row>
    <row r="30" spans="1:11" s="153" customFormat="1" ht="45" x14ac:dyDescent="0.25">
      <c r="A30" s="968"/>
      <c r="B30" s="969" t="s">
        <v>659</v>
      </c>
      <c r="C30" s="965"/>
      <c r="D30" s="962"/>
      <c r="E30" s="962">
        <v>82634.81</v>
      </c>
      <c r="F30" s="420">
        <f>G30-E30</f>
        <v>52365.19</v>
      </c>
      <c r="G30" s="419">
        <v>135000</v>
      </c>
      <c r="H30" s="419">
        <v>0</v>
      </c>
      <c r="I30" s="966"/>
      <c r="J30" s="970"/>
    </row>
    <row r="31" spans="1:11" ht="30" x14ac:dyDescent="0.25">
      <c r="A31" s="124"/>
      <c r="B31" s="969" t="s">
        <v>660</v>
      </c>
      <c r="C31" s="971"/>
      <c r="D31" s="972"/>
      <c r="E31" s="962">
        <v>173419.66</v>
      </c>
      <c r="F31" s="420">
        <f>G31-E31</f>
        <v>24054.53</v>
      </c>
      <c r="G31" s="419">
        <v>197474.19</v>
      </c>
      <c r="H31" s="419">
        <v>163000</v>
      </c>
    </row>
    <row r="32" spans="1:11" ht="33.75" customHeight="1" x14ac:dyDescent="0.25">
      <c r="A32" s="124"/>
      <c r="B32" s="969" t="s">
        <v>661</v>
      </c>
      <c r="C32" s="971"/>
      <c r="D32" s="972"/>
      <c r="E32" s="972"/>
      <c r="F32" s="420">
        <f>G32-E32</f>
        <v>210000</v>
      </c>
      <c r="G32" s="419">
        <v>210000</v>
      </c>
      <c r="H32" s="419">
        <v>210000</v>
      </c>
    </row>
    <row r="33" spans="1:9" ht="45" x14ac:dyDescent="0.25">
      <c r="A33" s="124"/>
      <c r="B33" s="964" t="s">
        <v>662</v>
      </c>
      <c r="C33" s="971"/>
      <c r="D33" s="420"/>
      <c r="E33" s="962"/>
      <c r="F33" s="420">
        <f>G33-E33</f>
        <v>19367.599999999999</v>
      </c>
      <c r="G33" s="419">
        <v>19367.599999999999</v>
      </c>
      <c r="H33" s="419">
        <v>50000</v>
      </c>
    </row>
    <row r="34" spans="1:9" s="248" customFormat="1" x14ac:dyDescent="0.25">
      <c r="A34" s="384"/>
      <c r="B34" s="973"/>
      <c r="C34" s="974"/>
      <c r="D34" s="975">
        <f t="shared" ref="D34:G34" si="3">SUM(D25:D33)</f>
        <v>0</v>
      </c>
      <c r="E34" s="975">
        <f t="shared" si="3"/>
        <v>256054.47</v>
      </c>
      <c r="F34" s="975">
        <f>SUM(F25:F33)</f>
        <v>352028.57999999996</v>
      </c>
      <c r="G34" s="975">
        <f t="shared" si="3"/>
        <v>608083.04999999993</v>
      </c>
      <c r="H34" s="975">
        <f>SUM(H25:H33)</f>
        <v>573000</v>
      </c>
    </row>
    <row r="35" spans="1:9" ht="16.5" customHeight="1" x14ac:dyDescent="0.25">
      <c r="A35" s="976" t="s">
        <v>663</v>
      </c>
      <c r="B35" s="977"/>
      <c r="C35" s="978"/>
      <c r="D35" s="1197"/>
      <c r="E35" s="1197"/>
      <c r="F35" s="1197">
        <f>G35-E35</f>
        <v>100187.72</v>
      </c>
      <c r="G35" s="1197">
        <v>100187.72</v>
      </c>
      <c r="H35" s="1197">
        <v>150000</v>
      </c>
    </row>
    <row r="36" spans="1:9" x14ac:dyDescent="0.25">
      <c r="A36" s="124"/>
      <c r="B36" s="967" t="s">
        <v>664</v>
      </c>
      <c r="C36" s="971"/>
      <c r="D36" s="1198"/>
      <c r="E36" s="1198"/>
      <c r="F36" s="1198"/>
      <c r="G36" s="1198"/>
      <c r="H36" s="1198"/>
    </row>
    <row r="37" spans="1:9" x14ac:dyDescent="0.25">
      <c r="A37" s="124"/>
      <c r="B37" s="969" t="s">
        <v>665</v>
      </c>
      <c r="C37" s="971"/>
      <c r="D37" s="1198"/>
      <c r="E37" s="1198"/>
      <c r="F37" s="1198"/>
      <c r="G37" s="1198"/>
      <c r="H37" s="1198"/>
      <c r="I37" s="159"/>
    </row>
    <row r="38" spans="1:9" x14ac:dyDescent="0.25">
      <c r="A38" s="124"/>
      <c r="B38" s="967" t="s">
        <v>666</v>
      </c>
      <c r="C38" s="971"/>
      <c r="D38" s="1198"/>
      <c r="E38" s="1198"/>
      <c r="F38" s="1198"/>
      <c r="G38" s="1198"/>
      <c r="H38" s="1198"/>
      <c r="I38" s="124"/>
    </row>
    <row r="39" spans="1:9" x14ac:dyDescent="0.25">
      <c r="A39" s="124"/>
      <c r="B39" s="967" t="s">
        <v>667</v>
      </c>
      <c r="C39" s="971"/>
      <c r="D39" s="1198"/>
      <c r="E39" s="1198"/>
      <c r="F39" s="1198"/>
      <c r="G39" s="1198"/>
      <c r="H39" s="1198"/>
      <c r="I39" s="124"/>
    </row>
    <row r="40" spans="1:9" x14ac:dyDescent="0.25">
      <c r="A40" s="124"/>
      <c r="B40" s="967" t="s">
        <v>668</v>
      </c>
      <c r="C40" s="971"/>
      <c r="D40" s="1198"/>
      <c r="E40" s="1198"/>
      <c r="F40" s="1198"/>
      <c r="G40" s="1198"/>
      <c r="H40" s="1198"/>
      <c r="I40" s="124"/>
    </row>
    <row r="41" spans="1:9" x14ac:dyDescent="0.25">
      <c r="A41" s="124"/>
      <c r="B41" s="967" t="s">
        <v>669</v>
      </c>
      <c r="C41" s="971"/>
      <c r="D41" s="1198"/>
      <c r="E41" s="1198"/>
      <c r="F41" s="1198"/>
      <c r="G41" s="1198"/>
      <c r="H41" s="1198"/>
      <c r="I41" s="159"/>
    </row>
    <row r="42" spans="1:9" x14ac:dyDescent="0.25">
      <c r="A42" s="124"/>
      <c r="B42" s="967" t="s">
        <v>670</v>
      </c>
      <c r="C42" s="971"/>
      <c r="D42" s="1198"/>
      <c r="E42" s="1198"/>
      <c r="F42" s="1198"/>
      <c r="G42" s="1198"/>
      <c r="H42" s="1198"/>
    </row>
    <row r="43" spans="1:9" ht="15" customHeight="1" x14ac:dyDescent="0.25">
      <c r="A43" s="944"/>
      <c r="B43" s="979" t="s">
        <v>671</v>
      </c>
      <c r="C43" s="980"/>
      <c r="D43" s="1199"/>
      <c r="E43" s="1199"/>
      <c r="F43" s="1199"/>
      <c r="G43" s="1199"/>
      <c r="H43" s="1199"/>
    </row>
    <row r="44" spans="1:9" ht="27.75" customHeight="1" x14ac:dyDescent="0.25">
      <c r="A44" s="1202" t="s">
        <v>672</v>
      </c>
      <c r="B44" s="1203"/>
      <c r="C44" s="978"/>
      <c r="D44" s="1200"/>
      <c r="E44" s="1200">
        <v>65200</v>
      </c>
      <c r="F44" s="1200">
        <f>G44-E44</f>
        <v>26780</v>
      </c>
      <c r="G44" s="1200">
        <v>91980</v>
      </c>
      <c r="H44" s="1200">
        <v>92000</v>
      </c>
    </row>
    <row r="45" spans="1:9" x14ac:dyDescent="0.25">
      <c r="A45" s="124"/>
      <c r="B45" s="967" t="s">
        <v>673</v>
      </c>
      <c r="C45" s="971"/>
      <c r="D45" s="1201"/>
      <c r="E45" s="1201"/>
      <c r="F45" s="1201"/>
      <c r="G45" s="1201"/>
      <c r="H45" s="1201"/>
    </row>
    <row r="46" spans="1:9" x14ac:dyDescent="0.25">
      <c r="A46" s="124"/>
      <c r="B46" s="967" t="s">
        <v>674</v>
      </c>
      <c r="C46" s="971"/>
      <c r="D46" s="1201"/>
      <c r="E46" s="1201"/>
      <c r="F46" s="1201"/>
      <c r="G46" s="1201"/>
      <c r="H46" s="1201"/>
      <c r="I46" s="159"/>
    </row>
    <row r="47" spans="1:9" ht="45" x14ac:dyDescent="0.25">
      <c r="A47" s="944"/>
      <c r="B47" s="981" t="s">
        <v>675</v>
      </c>
      <c r="C47" s="980"/>
      <c r="D47" s="1184"/>
      <c r="E47" s="1184"/>
      <c r="F47" s="1184"/>
      <c r="G47" s="1184"/>
      <c r="H47" s="1184"/>
    </row>
    <row r="48" spans="1:9" ht="42" customHeight="1" x14ac:dyDescent="0.25">
      <c r="A48" s="1204" t="s">
        <v>676</v>
      </c>
      <c r="B48" s="1205"/>
      <c r="C48" s="978"/>
      <c r="D48" s="243"/>
      <c r="E48" s="982">
        <v>157752.95999999999</v>
      </c>
      <c r="F48" s="947">
        <f>G48-E48</f>
        <v>103487.57</v>
      </c>
      <c r="G48" s="982">
        <v>261240.53</v>
      </c>
      <c r="H48" s="962">
        <v>475000</v>
      </c>
    </row>
    <row r="49" spans="1:10" x14ac:dyDescent="0.25">
      <c r="A49" s="124"/>
      <c r="B49" s="983" t="s">
        <v>677</v>
      </c>
      <c r="C49" s="971"/>
      <c r="D49" s="972"/>
      <c r="E49" s="972"/>
      <c r="F49" s="420"/>
      <c r="G49" s="972"/>
      <c r="H49" s="972"/>
      <c r="I49" s="159"/>
    </row>
    <row r="50" spans="1:10" x14ac:dyDescent="0.25">
      <c r="A50" s="124"/>
      <c r="B50" s="983" t="s">
        <v>678</v>
      </c>
      <c r="C50" s="971"/>
      <c r="D50" s="972"/>
      <c r="E50" s="972"/>
      <c r="F50" s="420"/>
      <c r="G50" s="1206"/>
      <c r="H50" s="984"/>
    </row>
    <row r="51" spans="1:10" x14ac:dyDescent="0.25">
      <c r="A51" s="124"/>
      <c r="B51" s="983" t="s">
        <v>679</v>
      </c>
      <c r="C51" s="971"/>
      <c r="D51" s="972"/>
      <c r="E51" s="972"/>
      <c r="F51" s="420"/>
      <c r="G51" s="1206"/>
      <c r="H51" s="984"/>
    </row>
    <row r="52" spans="1:10" x14ac:dyDescent="0.25">
      <c r="A52" s="124"/>
      <c r="B52" s="983" t="s">
        <v>680</v>
      </c>
      <c r="C52" s="971"/>
      <c r="D52" s="972"/>
      <c r="E52" s="972"/>
      <c r="F52" s="420"/>
      <c r="G52" s="1206"/>
      <c r="H52" s="984"/>
    </row>
    <row r="53" spans="1:10" x14ac:dyDescent="0.25">
      <c r="A53" s="124"/>
      <c r="B53" s="983" t="s">
        <v>681</v>
      </c>
      <c r="C53" s="971"/>
      <c r="D53" s="962"/>
      <c r="E53" s="962"/>
      <c r="F53" s="420"/>
      <c r="G53" s="962"/>
      <c r="H53" s="984"/>
    </row>
    <row r="54" spans="1:10" x14ac:dyDescent="0.25">
      <c r="A54" s="124"/>
      <c r="B54" s="983" t="s">
        <v>682</v>
      </c>
      <c r="C54" s="971"/>
      <c r="D54" s="962"/>
      <c r="E54" s="962"/>
      <c r="F54" s="420"/>
      <c r="G54" s="962"/>
      <c r="H54" s="984"/>
    </row>
    <row r="55" spans="1:10" x14ac:dyDescent="0.25">
      <c r="A55" s="124"/>
      <c r="B55" s="983" t="s">
        <v>683</v>
      </c>
      <c r="C55" s="971"/>
      <c r="D55" s="962"/>
      <c r="E55" s="962"/>
      <c r="F55" s="420"/>
      <c r="G55" s="962"/>
      <c r="H55" s="984"/>
    </row>
    <row r="56" spans="1:10" x14ac:dyDescent="0.25">
      <c r="A56" s="124"/>
      <c r="B56" s="985" t="s">
        <v>684</v>
      </c>
      <c r="C56" s="980"/>
      <c r="D56" s="986"/>
      <c r="E56" s="986">
        <v>3420</v>
      </c>
      <c r="F56" s="957">
        <f>G56-E56</f>
        <v>205532.35</v>
      </c>
      <c r="G56" s="987">
        <v>208952.35</v>
      </c>
      <c r="H56" s="987">
        <v>30000</v>
      </c>
    </row>
    <row r="57" spans="1:10" s="248" customFormat="1" ht="15.75" customHeight="1" x14ac:dyDescent="0.25">
      <c r="A57" s="384"/>
      <c r="B57" s="988"/>
      <c r="C57" s="989"/>
      <c r="D57" s="990">
        <f t="shared" ref="D57:G57" si="4">SUM(D48:D56)</f>
        <v>0</v>
      </c>
      <c r="E57" s="990">
        <f t="shared" si="4"/>
        <v>161172.96</v>
      </c>
      <c r="F57" s="990">
        <f t="shared" si="4"/>
        <v>309019.92000000004</v>
      </c>
      <c r="G57" s="990">
        <f t="shared" si="4"/>
        <v>470192.88</v>
      </c>
      <c r="H57" s="990">
        <f>SUM(H48:H56)</f>
        <v>505000</v>
      </c>
    </row>
    <row r="58" spans="1:10" ht="48.75" customHeight="1" x14ac:dyDescent="0.25">
      <c r="A58" s="1202" t="s">
        <v>685</v>
      </c>
      <c r="B58" s="1203"/>
      <c r="C58" s="978"/>
      <c r="D58" s="982"/>
      <c r="E58" s="982"/>
      <c r="F58" s="947"/>
      <c r="G58" s="982"/>
      <c r="H58" s="991"/>
      <c r="J58" s="992"/>
    </row>
    <row r="59" spans="1:10" x14ac:dyDescent="0.25">
      <c r="A59" s="124"/>
      <c r="B59" s="993" t="s">
        <v>686</v>
      </c>
      <c r="C59" s="971"/>
      <c r="D59" s="962"/>
      <c r="E59" s="962"/>
      <c r="F59" s="420">
        <f>G59-E59</f>
        <v>29395.77</v>
      </c>
      <c r="G59" s="962">
        <v>29395.77</v>
      </c>
      <c r="H59" s="994">
        <v>25000</v>
      </c>
    </row>
    <row r="60" spans="1:10" x14ac:dyDescent="0.25">
      <c r="A60" s="124"/>
      <c r="B60" s="983" t="s">
        <v>687</v>
      </c>
      <c r="C60" s="971"/>
      <c r="D60" s="962"/>
      <c r="E60" s="962"/>
      <c r="F60" s="420">
        <f t="shared" ref="F60:F63" si="5">G60-E60</f>
        <v>0</v>
      </c>
      <c r="G60" s="962"/>
      <c r="H60" s="994">
        <v>75000</v>
      </c>
    </row>
    <row r="61" spans="1:10" x14ac:dyDescent="0.25">
      <c r="A61" s="124"/>
      <c r="B61" s="983" t="s">
        <v>688</v>
      </c>
      <c r="C61" s="971"/>
      <c r="D61" s="962"/>
      <c r="E61" s="962">
        <v>33792.92</v>
      </c>
      <c r="F61" s="420">
        <f t="shared" si="5"/>
        <v>0</v>
      </c>
      <c r="G61" s="962">
        <v>33792.92</v>
      </c>
      <c r="H61" s="994">
        <v>50000</v>
      </c>
    </row>
    <row r="62" spans="1:10" x14ac:dyDescent="0.25">
      <c r="A62" s="124"/>
      <c r="B62" s="983" t="s">
        <v>689</v>
      </c>
      <c r="C62" s="971"/>
      <c r="D62" s="962"/>
      <c r="E62" s="962"/>
      <c r="F62" s="420">
        <f t="shared" si="5"/>
        <v>45895.85</v>
      </c>
      <c r="G62" s="962">
        <v>45895.85</v>
      </c>
      <c r="H62" s="994">
        <v>75000</v>
      </c>
    </row>
    <row r="63" spans="1:10" x14ac:dyDescent="0.25">
      <c r="A63" s="124"/>
      <c r="B63" s="983" t="s">
        <v>690</v>
      </c>
      <c r="C63" s="971"/>
      <c r="D63" s="962"/>
      <c r="E63" s="962">
        <v>1970</v>
      </c>
      <c r="F63" s="420">
        <f t="shared" si="5"/>
        <v>9938</v>
      </c>
      <c r="G63" s="962">
        <v>11908</v>
      </c>
      <c r="H63" s="995">
        <v>30000</v>
      </c>
    </row>
    <row r="64" spans="1:10" s="248" customFormat="1" x14ac:dyDescent="0.25">
      <c r="A64" s="384"/>
      <c r="B64" s="996"/>
      <c r="C64" s="974"/>
      <c r="D64" s="997">
        <f t="shared" ref="D64:G64" si="6">SUM(D59:D63)</f>
        <v>0</v>
      </c>
      <c r="E64" s="997">
        <f t="shared" si="6"/>
        <v>35762.92</v>
      </c>
      <c r="F64" s="997">
        <f t="shared" si="6"/>
        <v>85229.62</v>
      </c>
      <c r="G64" s="997">
        <f t="shared" si="6"/>
        <v>120992.54000000001</v>
      </c>
      <c r="H64" s="975">
        <f>SUM(H59:H63)</f>
        <v>255000</v>
      </c>
    </row>
    <row r="65" spans="1:8" x14ac:dyDescent="0.25">
      <c r="A65" s="998" t="s">
        <v>636</v>
      </c>
      <c r="B65" s="999"/>
      <c r="C65" s="132"/>
      <c r="D65" s="1000">
        <f t="shared" ref="D65:G65" si="7">D13+D15+D23+D34+D35+D44+D57+D64</f>
        <v>0</v>
      </c>
      <c r="E65" s="1000">
        <f>E13+E15+E23+E34+E35+E44+E57+E64</f>
        <v>685120.11</v>
      </c>
      <c r="F65" s="1000">
        <f t="shared" si="7"/>
        <v>1037470.9</v>
      </c>
      <c r="G65" s="1000">
        <f t="shared" si="7"/>
        <v>1722591.0099999998</v>
      </c>
      <c r="H65" s="1000">
        <f>H13+H15+H23+H34+H35+H44+H57+H64</f>
        <v>2114136.34</v>
      </c>
    </row>
    <row r="66" spans="1:8" x14ac:dyDescent="0.25">
      <c r="B66" s="150"/>
      <c r="C66" s="151"/>
      <c r="D66" s="152"/>
      <c r="E66" s="149"/>
      <c r="F66" s="149"/>
      <c r="G66" s="149"/>
      <c r="H66" s="152"/>
    </row>
    <row r="67" spans="1:8" x14ac:dyDescent="0.25">
      <c r="B67" s="153" t="s">
        <v>22</v>
      </c>
      <c r="C67" s="36" t="s">
        <v>23</v>
      </c>
      <c r="F67" s="36" t="s">
        <v>24</v>
      </c>
      <c r="H67" s="41"/>
    </row>
    <row r="68" spans="1:8" x14ac:dyDescent="0.25">
      <c r="H68" s="41"/>
    </row>
    <row r="69" spans="1:8" x14ac:dyDescent="0.25">
      <c r="B69" s="216" t="s">
        <v>62</v>
      </c>
      <c r="C69" s="1086" t="s">
        <v>51</v>
      </c>
      <c r="D69" s="1086"/>
      <c r="E69" s="1086"/>
      <c r="F69" s="1085" t="str">
        <f>B69</f>
        <v xml:space="preserve">EUGENIO B. DATAHAN II  </v>
      </c>
      <c r="G69" s="1085"/>
      <c r="H69" s="1085"/>
    </row>
    <row r="70" spans="1:8" x14ac:dyDescent="0.25">
      <c r="B70" s="206" t="s">
        <v>63</v>
      </c>
      <c r="C70" s="1070" t="s">
        <v>64</v>
      </c>
      <c r="D70" s="1070"/>
      <c r="E70" s="1070"/>
      <c r="F70" s="1070" t="s">
        <v>67</v>
      </c>
      <c r="G70" s="1070"/>
      <c r="H70" s="1070"/>
    </row>
    <row r="71" spans="1:8" ht="21" x14ac:dyDescent="0.35">
      <c r="B71" s="119"/>
    </row>
  </sheetData>
  <sheetProtection algorithmName="SHA-512" hashValue="d3Sj9ky3awQwTz012oCmstqNluv6WQRD2EZq0b3W/DPvi+0jhjpZDl4vGJtm6+cK1bUqiHMuGnt0x+7DpvpKlQ==" saltValue="tZb+j2u1bLxEEOeOcrkisQ==" spinCount="100000" sheet="1" objects="1" scenarios="1" selectLockedCells="1" selectUnlockedCells="1"/>
  <mergeCells count="40">
    <mergeCell ref="C70:E70"/>
    <mergeCell ref="F70:H70"/>
    <mergeCell ref="H44:H47"/>
    <mergeCell ref="H35:H43"/>
    <mergeCell ref="A44:B44"/>
    <mergeCell ref="D44:D47"/>
    <mergeCell ref="E44:E47"/>
    <mergeCell ref="F44:F47"/>
    <mergeCell ref="G44:G47"/>
    <mergeCell ref="A48:B48"/>
    <mergeCell ref="G50:G52"/>
    <mergeCell ref="A58:B58"/>
    <mergeCell ref="C69:E69"/>
    <mergeCell ref="F69:H69"/>
    <mergeCell ref="G13:G14"/>
    <mergeCell ref="D35:D43"/>
    <mergeCell ref="E35:E43"/>
    <mergeCell ref="F35:F43"/>
    <mergeCell ref="G35:G43"/>
    <mergeCell ref="A13:B13"/>
    <mergeCell ref="C13:C14"/>
    <mergeCell ref="D13:D14"/>
    <mergeCell ref="E13:E14"/>
    <mergeCell ref="F13:F14"/>
    <mergeCell ref="A17:B17"/>
    <mergeCell ref="A3:H3"/>
    <mergeCell ref="A4:H4"/>
    <mergeCell ref="A5:H5"/>
    <mergeCell ref="A6:H6"/>
    <mergeCell ref="B8:B9"/>
    <mergeCell ref="C8:C9"/>
    <mergeCell ref="E8:G8"/>
    <mergeCell ref="H13:H14"/>
    <mergeCell ref="A15:B15"/>
    <mergeCell ref="C15:C16"/>
    <mergeCell ref="D15:D16"/>
    <mergeCell ref="E15:E16"/>
    <mergeCell ref="F15:F16"/>
    <mergeCell ref="G15:G16"/>
    <mergeCell ref="H15:H16"/>
  </mergeCells>
  <conditionalFormatting sqref="J25 B38:C40 B42:C43 B45:C46 C25:E25 B49:E50 B29:E32">
    <cfRule type="expression" dxfId="152" priority="53">
      <formula>ISNUMBER(SEARCH(#REF!,#REF!))</formula>
    </cfRule>
  </conditionalFormatting>
  <conditionalFormatting sqref="G25 G49:G50 G28:G32 H44">
    <cfRule type="expression" dxfId="151" priority="52">
      <formula>ISNUMBER(SEARCH(#REF!,#REF!))</formula>
    </cfRule>
  </conditionalFormatting>
  <conditionalFormatting sqref="G59:G61 B59:E61">
    <cfRule type="expression" dxfId="150" priority="54">
      <formula>ISNUMBER(SEARCH(#REF!,B49))</formula>
    </cfRule>
  </conditionalFormatting>
  <conditionalFormatting sqref="J26">
    <cfRule type="expression" dxfId="149" priority="55">
      <formula>ISNUMBER(SEARCH(#REF!,G16))</formula>
    </cfRule>
  </conditionalFormatting>
  <conditionalFormatting sqref="B16 F30 G24:H24 H23 B19:G19 C17:H17 B22:E24 F59:F63 B18 D18:G18">
    <cfRule type="expression" dxfId="148" priority="56">
      <formula>ISNUMBER(SEARCH(#REF!,B7))</formula>
    </cfRule>
  </conditionalFormatting>
  <conditionalFormatting sqref="H15">
    <cfRule type="expression" dxfId="147" priority="57">
      <formula>ISNUMBER(SEARCH(#REF!,H7))</formula>
    </cfRule>
  </conditionalFormatting>
  <conditionalFormatting sqref="F48">
    <cfRule type="expression" dxfId="146" priority="58">
      <formula>ISNUMBER(SEARCH(#REF!,F41))</formula>
    </cfRule>
  </conditionalFormatting>
  <conditionalFormatting sqref="B41:C41">
    <cfRule type="expression" dxfId="145" priority="59">
      <formula>ISNUMBER(SEARCH(#REF!,B35))</formula>
    </cfRule>
  </conditionalFormatting>
  <conditionalFormatting sqref="B36:C36">
    <cfRule type="expression" dxfId="144" priority="60">
      <formula>ISNUMBER(SEARCH(#REF!,#REF!))</formula>
    </cfRule>
  </conditionalFormatting>
  <conditionalFormatting sqref="C44">
    <cfRule type="expression" dxfId="143" priority="61">
      <formula>ISNUMBER(SEARCH(#REF!,C39))</formula>
    </cfRule>
  </conditionalFormatting>
  <conditionalFormatting sqref="H65 B65:C65">
    <cfRule type="expression" dxfId="142" priority="62">
      <formula>ISNUMBER(SEARCH(#REF!,B48))</formula>
    </cfRule>
  </conditionalFormatting>
  <conditionalFormatting sqref="C13 H13">
    <cfRule type="expression" dxfId="141" priority="63">
      <formula>ISNUMBER(SEARCH(#REF!,#REF!))</formula>
    </cfRule>
  </conditionalFormatting>
  <conditionalFormatting sqref="G58 C58:E58">
    <cfRule type="expression" dxfId="140" priority="64">
      <formula>ISNUMBER(SEARCH(#REF!,C48))</formula>
    </cfRule>
  </conditionalFormatting>
  <conditionalFormatting sqref="F58">
    <cfRule type="expression" dxfId="139" priority="65">
      <formula>ISNUMBER(SEARCH(#REF!,#REF!))</formula>
    </cfRule>
  </conditionalFormatting>
  <conditionalFormatting sqref="B26:E26">
    <cfRule type="expression" dxfId="138" priority="66">
      <formula>ISNUMBER(SEARCH(#REF!,B16))</formula>
    </cfRule>
  </conditionalFormatting>
  <conditionalFormatting sqref="G20:H21 B21:E21 B20:D20">
    <cfRule type="expression" dxfId="137" priority="67">
      <formula>ISNUMBER(SEARCH(#REF!,B12))</formula>
    </cfRule>
  </conditionalFormatting>
  <conditionalFormatting sqref="B25">
    <cfRule type="expression" dxfId="136" priority="51">
      <formula>ISNUMBER(SEARCH(#REF!,B15))</formula>
    </cfRule>
  </conditionalFormatting>
  <conditionalFormatting sqref="A13">
    <cfRule type="expression" dxfId="135" priority="50">
      <formula>ISNUMBER(SEARCH(#REF!,#REF!))</formula>
    </cfRule>
  </conditionalFormatting>
  <conditionalFormatting sqref="B14">
    <cfRule type="expression" dxfId="134" priority="68">
      <formula>ISNUMBER(SEARCH(#REF!,A5))</formula>
    </cfRule>
  </conditionalFormatting>
  <conditionalFormatting sqref="A15">
    <cfRule type="expression" dxfId="133" priority="49">
      <formula>ISNUMBER(SEARCH(#REF!,A7))</formula>
    </cfRule>
  </conditionalFormatting>
  <conditionalFormatting sqref="A17">
    <cfRule type="expression" dxfId="132" priority="48">
      <formula>ISNUMBER(SEARCH(#REF!,A8))</formula>
    </cfRule>
  </conditionalFormatting>
  <conditionalFormatting sqref="A24">
    <cfRule type="expression" dxfId="131" priority="47">
      <formula>ISNUMBER(SEARCH(#REF!,A15))</formula>
    </cfRule>
  </conditionalFormatting>
  <conditionalFormatting sqref="F31">
    <cfRule type="expression" dxfId="130" priority="69">
      <formula>ISNUMBER(SEARCH(#REF!,F23))</formula>
    </cfRule>
  </conditionalFormatting>
  <conditionalFormatting sqref="B34:C34">
    <cfRule type="expression" dxfId="129" priority="70">
      <formula>ISNUMBER(SEARCH(#REF!,#REF!))</formula>
    </cfRule>
  </conditionalFormatting>
  <conditionalFormatting sqref="G27 B27:E28">
    <cfRule type="expression" dxfId="128" priority="71">
      <formula>ISNUMBER(SEARCH(#REF!,B25))</formula>
    </cfRule>
  </conditionalFormatting>
  <conditionalFormatting sqref="H35 B35:C35">
    <cfRule type="expression" dxfId="127" priority="72">
      <formula>ISNUMBER(SEARCH(#REF!,B31))</formula>
    </cfRule>
  </conditionalFormatting>
  <conditionalFormatting sqref="B37:C37">
    <cfRule type="expression" dxfId="126" priority="73">
      <formula>ISNUMBER(SEARCH(#REF!,B34))</formula>
    </cfRule>
  </conditionalFormatting>
  <conditionalFormatting sqref="B47:C47">
    <cfRule type="expression" dxfId="125" priority="74">
      <formula>ISNUMBER(SEARCH(#REF!,B41))</formula>
    </cfRule>
  </conditionalFormatting>
  <conditionalFormatting sqref="A35">
    <cfRule type="expression" dxfId="124" priority="46">
      <formula>ISNUMBER(SEARCH(#REF!,A31))</formula>
    </cfRule>
  </conditionalFormatting>
  <conditionalFormatting sqref="A44">
    <cfRule type="expression" dxfId="123" priority="45">
      <formula>ISNUMBER(SEARCH(#REF!,A39))</formula>
    </cfRule>
  </conditionalFormatting>
  <conditionalFormatting sqref="B51:E51">
    <cfRule type="expression" dxfId="122" priority="75">
      <formula>ISNUMBER(SEARCH(#REF!,B44))</formula>
    </cfRule>
  </conditionalFormatting>
  <conditionalFormatting sqref="B57:C57 B52:E52">
    <cfRule type="expression" dxfId="121" priority="76">
      <formula>ISNUMBER(SEARCH(#REF!,#REF!))</formula>
    </cfRule>
  </conditionalFormatting>
  <conditionalFormatting sqref="F49:F50">
    <cfRule type="expression" dxfId="120" priority="77">
      <formula>ISNUMBER(SEARCH(#REF!,F43))</formula>
    </cfRule>
  </conditionalFormatting>
  <conditionalFormatting sqref="F51 F55">
    <cfRule type="expression" dxfId="119" priority="78">
      <formula>ISNUMBER(SEARCH(#REF!,#REF!))</formula>
    </cfRule>
  </conditionalFormatting>
  <conditionalFormatting sqref="G53:G55 B53:E55">
    <cfRule type="expression" dxfId="118" priority="79">
      <formula>ISNUMBER(SEARCH(#REF!,B45))</formula>
    </cfRule>
  </conditionalFormatting>
  <conditionalFormatting sqref="F52:F54">
    <cfRule type="expression" dxfId="117" priority="80">
      <formula>ISNUMBER(SEARCH(#REF!,F45))</formula>
    </cfRule>
  </conditionalFormatting>
  <conditionalFormatting sqref="G48 C48:E48">
    <cfRule type="expression" dxfId="116" priority="81">
      <formula>ISNUMBER(SEARCH(#REF!,C43))</formula>
    </cfRule>
  </conditionalFormatting>
  <conditionalFormatting sqref="A48">
    <cfRule type="expression" dxfId="115" priority="44">
      <formula>ISNUMBER(SEARCH(#REF!,A43))</formula>
    </cfRule>
  </conditionalFormatting>
  <conditionalFormatting sqref="A58">
    <cfRule type="expression" dxfId="114" priority="43">
      <formula>ISNUMBER(SEARCH(#REF!,A48))</formula>
    </cfRule>
  </conditionalFormatting>
  <conditionalFormatting sqref="A65">
    <cfRule type="expression" dxfId="113" priority="42">
      <formula>ISNUMBER(SEARCH(#REF!,A48))</formula>
    </cfRule>
  </conditionalFormatting>
  <conditionalFormatting sqref="H58">
    <cfRule type="expression" dxfId="112" priority="82">
      <formula>ISNUMBER(SEARCH(#REF!,H54))</formula>
    </cfRule>
  </conditionalFormatting>
  <conditionalFormatting sqref="H18:H19">
    <cfRule type="expression" dxfId="111" priority="41">
      <formula>ISNUMBER(SEARCH(#REF!,H9))</formula>
    </cfRule>
  </conditionalFormatting>
  <conditionalFormatting sqref="F24:F29">
    <cfRule type="expression" dxfId="110" priority="83">
      <formula>ISNUMBER(SEARCH(#REF!,F13))</formula>
    </cfRule>
  </conditionalFormatting>
  <conditionalFormatting sqref="G22:H22">
    <cfRule type="expression" dxfId="109" priority="40">
      <formula>ISNUMBER(SEARCH(#REF!,G13))</formula>
    </cfRule>
  </conditionalFormatting>
  <conditionalFormatting sqref="B33:E33 G33">
    <cfRule type="expression" dxfId="108" priority="39">
      <formula>ISNUMBER(SEARCH(#REF!,#REF!))</formula>
    </cfRule>
  </conditionalFormatting>
  <conditionalFormatting sqref="H25 H28:H32">
    <cfRule type="expression" dxfId="107" priority="37">
      <formula>ISNUMBER(SEARCH(#REF!,#REF!))</formula>
    </cfRule>
  </conditionalFormatting>
  <conditionalFormatting sqref="H27">
    <cfRule type="expression" dxfId="106" priority="38">
      <formula>ISNUMBER(SEARCH(#REF!,H25))</formula>
    </cfRule>
  </conditionalFormatting>
  <conditionalFormatting sqref="H33">
    <cfRule type="expression" dxfId="105" priority="36">
      <formula>ISNUMBER(SEARCH(#REF!,#REF!))</formula>
    </cfRule>
  </conditionalFormatting>
  <conditionalFormatting sqref="H49">
    <cfRule type="expression" dxfId="104" priority="35">
      <formula>ISNUMBER(SEARCH(#REF!,#REF!))</formula>
    </cfRule>
  </conditionalFormatting>
  <conditionalFormatting sqref="H57">
    <cfRule type="expression" dxfId="103" priority="34">
      <formula>ISNUMBER(SEARCH(#REF!,#REF!))</formula>
    </cfRule>
  </conditionalFormatting>
  <conditionalFormatting sqref="G62:G63 B62:E63 B64:G64">
    <cfRule type="expression" dxfId="102" priority="84">
      <formula>ISNUMBER(SEARCH(#REF!,B53))</formula>
    </cfRule>
  </conditionalFormatting>
  <conditionalFormatting sqref="F56">
    <cfRule type="expression" dxfId="101" priority="32">
      <formula>ISNUMBER(SEARCH(#REF!,F47))</formula>
    </cfRule>
  </conditionalFormatting>
  <conditionalFormatting sqref="G56 B56:E56">
    <cfRule type="expression" dxfId="100" priority="33">
      <formula>ISNUMBER(SEARCH(#REF!,#REF!))</formula>
    </cfRule>
  </conditionalFormatting>
  <conditionalFormatting sqref="H56">
    <cfRule type="expression" dxfId="99" priority="31">
      <formula>ISNUMBER(SEARCH(#REF!,#REF!))</formula>
    </cfRule>
  </conditionalFormatting>
  <conditionalFormatting sqref="J58">
    <cfRule type="expression" dxfId="98" priority="30">
      <formula>ISNUMBER(SEARCH(#REF!,J54))</formula>
    </cfRule>
  </conditionalFormatting>
  <conditionalFormatting sqref="H59:H61">
    <cfRule type="expression" dxfId="97" priority="28">
      <formula>ISNUMBER(SEARCH(#REF!,H49))</formula>
    </cfRule>
  </conditionalFormatting>
  <conditionalFormatting sqref="H62:H64">
    <cfRule type="expression" dxfId="96" priority="29">
      <formula>ISNUMBER(SEARCH(#REF!,H53))</formula>
    </cfRule>
  </conditionalFormatting>
  <conditionalFormatting sqref="D13">
    <cfRule type="expression" dxfId="95" priority="27">
      <formula>ISNUMBER(SEARCH(#REF!,#REF!))</formula>
    </cfRule>
  </conditionalFormatting>
  <conditionalFormatting sqref="E13">
    <cfRule type="expression" dxfId="94" priority="26">
      <formula>ISNUMBER(SEARCH(#REF!,#REF!))</formula>
    </cfRule>
  </conditionalFormatting>
  <conditionalFormatting sqref="F13">
    <cfRule type="expression" dxfId="93" priority="25">
      <formula>ISNUMBER(SEARCH(#REF!,#REF!))</formula>
    </cfRule>
  </conditionalFormatting>
  <conditionalFormatting sqref="G13">
    <cfRule type="expression" dxfId="92" priority="24">
      <formula>ISNUMBER(SEARCH(#REF!,#REF!))</formula>
    </cfRule>
  </conditionalFormatting>
  <conditionalFormatting sqref="C15">
    <cfRule type="expression" dxfId="91" priority="23">
      <formula>ISNUMBER(SEARCH(#REF!,C7))</formula>
    </cfRule>
  </conditionalFormatting>
  <conditionalFormatting sqref="D15">
    <cfRule type="expression" dxfId="90" priority="22">
      <formula>ISNUMBER(SEARCH(#REF!,D7))</formula>
    </cfRule>
  </conditionalFormatting>
  <conditionalFormatting sqref="E15">
    <cfRule type="expression" dxfId="89" priority="21">
      <formula>ISNUMBER(SEARCH(#REF!,E7))</formula>
    </cfRule>
  </conditionalFormatting>
  <conditionalFormatting sqref="G15">
    <cfRule type="expression" dxfId="88" priority="20">
      <formula>ISNUMBER(SEARCH(#REF!,G7))</formula>
    </cfRule>
  </conditionalFormatting>
  <conditionalFormatting sqref="F23">
    <cfRule type="expression" dxfId="87" priority="19">
      <formula>ISNUMBER(SEARCH(#REF!,F14))</formula>
    </cfRule>
  </conditionalFormatting>
  <conditionalFormatting sqref="G23">
    <cfRule type="expression" dxfId="86" priority="18">
      <formula>ISNUMBER(SEARCH(#REF!,G14))</formula>
    </cfRule>
  </conditionalFormatting>
  <conditionalFormatting sqref="D35">
    <cfRule type="expression" dxfId="85" priority="17">
      <formula>ISNUMBER(SEARCH(#REF!,D31))</formula>
    </cfRule>
  </conditionalFormatting>
  <conditionalFormatting sqref="E35">
    <cfRule type="expression" dxfId="84" priority="16">
      <formula>ISNUMBER(SEARCH(#REF!,E31))</formula>
    </cfRule>
  </conditionalFormatting>
  <conditionalFormatting sqref="F35">
    <cfRule type="expression" dxfId="83" priority="15">
      <formula>ISNUMBER(SEARCH(#REF!,F31))</formula>
    </cfRule>
  </conditionalFormatting>
  <conditionalFormatting sqref="G35">
    <cfRule type="expression" dxfId="82" priority="14">
      <formula>ISNUMBER(SEARCH(#REF!,G31))</formula>
    </cfRule>
  </conditionalFormatting>
  <conditionalFormatting sqref="D44">
    <cfRule type="expression" dxfId="81" priority="13">
      <formula>ISNUMBER(SEARCH(#REF!,#REF!))</formula>
    </cfRule>
  </conditionalFormatting>
  <conditionalFormatting sqref="E44">
    <cfRule type="expression" dxfId="80" priority="12">
      <formula>ISNUMBER(SEARCH(#REF!,#REF!))</formula>
    </cfRule>
  </conditionalFormatting>
  <conditionalFormatting sqref="F44">
    <cfRule type="expression" dxfId="79" priority="11">
      <formula>ISNUMBER(SEARCH(#REF!,#REF!))</formula>
    </cfRule>
  </conditionalFormatting>
  <conditionalFormatting sqref="G44">
    <cfRule type="expression" dxfId="78" priority="10">
      <formula>ISNUMBER(SEARCH(#REF!,#REF!))</formula>
    </cfRule>
  </conditionalFormatting>
  <conditionalFormatting sqref="F15">
    <cfRule type="expression" dxfId="77" priority="9">
      <formula>ISNUMBER(SEARCH(#REF!,#REF!))</formula>
    </cfRule>
  </conditionalFormatting>
  <conditionalFormatting sqref="E20">
    <cfRule type="expression" dxfId="76" priority="8">
      <formula>ISNUMBER(SEARCH(#REF!,E11))</formula>
    </cfRule>
  </conditionalFormatting>
  <conditionalFormatting sqref="H48">
    <cfRule type="expression" dxfId="75" priority="7">
      <formula>ISNUMBER(SEARCH(#REF!,#REF!))</formula>
    </cfRule>
  </conditionalFormatting>
  <conditionalFormatting sqref="D65 F65:G65">
    <cfRule type="expression" dxfId="74" priority="6">
      <formula>ISNUMBER(SEARCH(#REF!,D48))</formula>
    </cfRule>
  </conditionalFormatting>
  <conditionalFormatting sqref="E65">
    <cfRule type="expression" dxfId="73" priority="5">
      <formula>ISNUMBER(SEARCH(#REF!,E48))</formula>
    </cfRule>
  </conditionalFormatting>
  <conditionalFormatting sqref="D57:G57">
    <cfRule type="expression" dxfId="72" priority="4">
      <formula>ISNUMBER(SEARCH(#REF!,#REF!))</formula>
    </cfRule>
  </conditionalFormatting>
  <conditionalFormatting sqref="F20:F22">
    <cfRule type="expression" dxfId="71" priority="3">
      <formula>ISNUMBER(SEARCH(#REF!,F11))</formula>
    </cfRule>
  </conditionalFormatting>
  <conditionalFormatting sqref="F32">
    <cfRule type="expression" dxfId="70" priority="2">
      <formula>ISNUMBER(SEARCH(#REF!,F24))</formula>
    </cfRule>
  </conditionalFormatting>
  <conditionalFormatting sqref="F33">
    <cfRule type="expression" dxfId="69" priority="1">
      <formula>ISNUMBER(SEARCH(#REF!,F25))</formula>
    </cfRule>
  </conditionalFormatting>
  <printOptions horizontalCentered="1"/>
  <pageMargins left="0.51" right="0.74" top="1" bottom="1" header="0.22" footer="0.3"/>
  <pageSetup scale="80" orientation="portrait" horizontalDpi="0" verticalDpi="0" r:id="rId1"/>
  <rowBreaks count="1" manualBreakCount="1">
    <brk id="34" max="16383" man="1"/>
  </rowBreak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topLeftCell="A31" zoomScaleNormal="100" workbookViewId="0">
      <selection activeCell="C46" sqref="C46"/>
    </sheetView>
  </sheetViews>
  <sheetFormatPr defaultRowHeight="15" x14ac:dyDescent="0.25"/>
  <cols>
    <col min="1" max="1" width="3.28515625" style="159" customWidth="1"/>
    <col min="2" max="2" width="44.140625" style="159" customWidth="1"/>
    <col min="3" max="4" width="13.42578125" style="159" customWidth="1"/>
    <col min="5" max="5" width="13.42578125" style="159" hidden="1" customWidth="1"/>
    <col min="6" max="8" width="13.42578125" style="159" customWidth="1"/>
    <col min="9" max="9" width="13.5703125" style="159" customWidth="1"/>
    <col min="10" max="10" width="13.28515625" style="159" bestFit="1" customWidth="1"/>
    <col min="11" max="16384" width="9.140625" style="159"/>
  </cols>
  <sheetData>
    <row r="1" spans="1:9" x14ac:dyDescent="0.25">
      <c r="A1" s="159" t="s">
        <v>318</v>
      </c>
      <c r="I1" s="159" t="s">
        <v>319</v>
      </c>
    </row>
    <row r="3" spans="1:9" s="114" customFormat="1" ht="15.75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  <c r="I3" s="1069"/>
    </row>
    <row r="4" spans="1:9" s="114" customFormat="1" ht="15.75" x14ac:dyDescent="0.25">
      <c r="A4" s="1069" t="s">
        <v>380</v>
      </c>
      <c r="B4" s="1069"/>
      <c r="C4" s="1069"/>
      <c r="D4" s="1069"/>
      <c r="E4" s="1069"/>
      <c r="F4" s="1069"/>
      <c r="G4" s="1069"/>
      <c r="H4" s="1069"/>
      <c r="I4" s="1069"/>
    </row>
    <row r="5" spans="1:9" s="114" customFormat="1" ht="15.75" x14ac:dyDescent="0.25">
      <c r="A5" s="205"/>
      <c r="B5" s="205"/>
      <c r="C5" s="205"/>
      <c r="D5" s="205"/>
      <c r="E5" s="205"/>
      <c r="F5" s="205"/>
      <c r="G5" s="205"/>
      <c r="H5" s="205"/>
      <c r="I5" s="205"/>
    </row>
    <row r="6" spans="1:9" s="114" customFormat="1" ht="19.5" customHeight="1" x14ac:dyDescent="0.25">
      <c r="A6" s="1069" t="s">
        <v>533</v>
      </c>
      <c r="B6" s="1069"/>
      <c r="C6" s="1069"/>
      <c r="D6" s="1069"/>
      <c r="E6" s="1069"/>
      <c r="F6" s="1069"/>
      <c r="G6" s="1069"/>
      <c r="H6" s="1069"/>
      <c r="I6" s="1069"/>
    </row>
    <row r="7" spans="1:9" ht="19.5" customHeight="1" x14ac:dyDescent="0.35">
      <c r="B7" s="367"/>
      <c r="C7" s="367"/>
      <c r="D7" s="367"/>
      <c r="E7" s="367"/>
      <c r="F7" s="367"/>
      <c r="G7" s="367"/>
      <c r="H7" s="367"/>
      <c r="I7" s="368"/>
    </row>
    <row r="8" spans="1:9" ht="21" customHeight="1" x14ac:dyDescent="0.25">
      <c r="A8" s="369"/>
      <c r="B8" s="370"/>
      <c r="C8" s="140"/>
      <c r="D8" s="127"/>
      <c r="E8" s="211"/>
      <c r="F8" s="1208" t="s">
        <v>8</v>
      </c>
      <c r="G8" s="1209"/>
      <c r="H8" s="1210"/>
      <c r="I8" s="207" t="s">
        <v>3</v>
      </c>
    </row>
    <row r="9" spans="1:9" ht="65.25" customHeight="1" x14ac:dyDescent="0.25">
      <c r="A9" s="371"/>
      <c r="B9" s="208" t="s">
        <v>0</v>
      </c>
      <c r="C9" s="210" t="s">
        <v>1</v>
      </c>
      <c r="D9" s="210" t="s">
        <v>534</v>
      </c>
      <c r="E9" s="210" t="s">
        <v>475</v>
      </c>
      <c r="F9" s="372" t="s">
        <v>535</v>
      </c>
      <c r="G9" s="372" t="s">
        <v>536</v>
      </c>
      <c r="H9" s="210" t="s">
        <v>21</v>
      </c>
      <c r="I9" s="210" t="s">
        <v>537</v>
      </c>
    </row>
    <row r="10" spans="1:9" ht="15" customHeight="1" x14ac:dyDescent="0.25">
      <c r="A10" s="371"/>
      <c r="B10" s="208"/>
      <c r="C10" s="373"/>
      <c r="D10" s="372">
        <v>2017</v>
      </c>
      <c r="E10" s="372"/>
      <c r="F10" s="372">
        <v>2018</v>
      </c>
      <c r="G10" s="372">
        <v>2018</v>
      </c>
      <c r="H10" s="210"/>
      <c r="I10" s="372">
        <v>2019</v>
      </c>
    </row>
    <row r="11" spans="1:9" x14ac:dyDescent="0.25">
      <c r="A11" s="374"/>
      <c r="B11" s="304">
        <v>1</v>
      </c>
      <c r="C11" s="304">
        <v>2</v>
      </c>
      <c r="D11" s="305">
        <v>3</v>
      </c>
      <c r="E11" s="305"/>
      <c r="F11" s="305">
        <v>4</v>
      </c>
      <c r="G11" s="305">
        <v>5</v>
      </c>
      <c r="H11" s="305">
        <v>6</v>
      </c>
      <c r="I11" s="305">
        <v>7</v>
      </c>
    </row>
    <row r="12" spans="1:9" x14ac:dyDescent="0.25">
      <c r="A12" s="375"/>
      <c r="B12" s="376"/>
      <c r="C12" s="377"/>
      <c r="D12" s="378"/>
      <c r="E12" s="240"/>
      <c r="F12" s="240"/>
      <c r="G12" s="286"/>
      <c r="H12" s="286"/>
      <c r="I12" s="379"/>
    </row>
    <row r="13" spans="1:9" x14ac:dyDescent="0.25">
      <c r="A13" s="380" t="s">
        <v>538</v>
      </c>
      <c r="B13" s="376"/>
      <c r="C13" s="377"/>
      <c r="D13" s="378"/>
      <c r="E13" s="240"/>
      <c r="F13" s="240"/>
      <c r="G13" s="286"/>
      <c r="H13" s="286"/>
      <c r="I13" s="379"/>
    </row>
    <row r="14" spans="1:9" x14ac:dyDescent="0.25">
      <c r="A14" s="375"/>
      <c r="B14" s="376" t="s">
        <v>539</v>
      </c>
      <c r="C14" s="377"/>
      <c r="D14" s="378">
        <v>19500</v>
      </c>
      <c r="E14" s="240">
        <v>20000</v>
      </c>
      <c r="F14" s="240"/>
      <c r="G14" s="286">
        <f t="shared" ref="G14" si="0">H14-F14</f>
        <v>19629.810000000001</v>
      </c>
      <c r="H14" s="286">
        <v>19629.810000000001</v>
      </c>
      <c r="I14" s="379">
        <v>100000</v>
      </c>
    </row>
    <row r="15" spans="1:9" x14ac:dyDescent="0.25">
      <c r="A15" s="375"/>
      <c r="B15" s="381" t="s">
        <v>540</v>
      </c>
      <c r="C15" s="377"/>
      <c r="D15" s="378"/>
      <c r="E15" s="240"/>
      <c r="F15" s="240"/>
      <c r="G15" s="286"/>
      <c r="H15" s="286"/>
      <c r="I15" s="379">
        <v>50000</v>
      </c>
    </row>
    <row r="16" spans="1:9" x14ac:dyDescent="0.25">
      <c r="A16" s="375"/>
      <c r="B16" s="376" t="s">
        <v>541</v>
      </c>
      <c r="C16" s="97" t="s">
        <v>96</v>
      </c>
      <c r="D16" s="378"/>
      <c r="E16" s="240"/>
      <c r="F16" s="240"/>
      <c r="G16" s="286"/>
      <c r="H16" s="286"/>
      <c r="I16" s="379">
        <v>132000</v>
      </c>
    </row>
    <row r="17" spans="1:10" x14ac:dyDescent="0.25">
      <c r="A17" s="375"/>
      <c r="B17" s="376" t="s">
        <v>542</v>
      </c>
      <c r="C17" s="377" t="s">
        <v>543</v>
      </c>
      <c r="D17" s="378"/>
      <c r="E17" s="240"/>
      <c r="F17" s="240"/>
      <c r="G17" s="286"/>
      <c r="H17" s="286"/>
      <c r="I17" s="379">
        <v>100000</v>
      </c>
    </row>
    <row r="18" spans="1:10" x14ac:dyDescent="0.25">
      <c r="A18" s="375"/>
      <c r="B18" s="376" t="s">
        <v>544</v>
      </c>
      <c r="C18" s="377"/>
      <c r="D18" s="378"/>
      <c r="E18" s="240"/>
      <c r="F18" s="240"/>
      <c r="G18" s="286"/>
      <c r="H18" s="286"/>
      <c r="I18" s="379">
        <v>5000</v>
      </c>
      <c r="J18" s="382"/>
    </row>
    <row r="19" spans="1:10" x14ac:dyDescent="0.25">
      <c r="A19" s="375"/>
      <c r="B19" s="376" t="s">
        <v>545</v>
      </c>
      <c r="C19" s="383" t="s">
        <v>140</v>
      </c>
      <c r="D19" s="378"/>
      <c r="E19" s="240"/>
      <c r="F19" s="240"/>
      <c r="G19" s="286"/>
      <c r="H19" s="286"/>
      <c r="I19" s="379">
        <v>90000</v>
      </c>
    </row>
    <row r="20" spans="1:10" x14ac:dyDescent="0.25">
      <c r="A20" s="375"/>
      <c r="B20" s="376" t="s">
        <v>546</v>
      </c>
      <c r="C20" s="377"/>
      <c r="D20" s="378"/>
      <c r="E20" s="240"/>
      <c r="F20" s="240"/>
      <c r="G20" s="286"/>
      <c r="H20" s="286"/>
      <c r="I20" s="379">
        <v>100000</v>
      </c>
    </row>
    <row r="21" spans="1:10" ht="30" x14ac:dyDescent="0.25">
      <c r="A21" s="375"/>
      <c r="B21" s="381" t="s">
        <v>547</v>
      </c>
      <c r="C21" s="377"/>
      <c r="D21" s="378"/>
      <c r="E21" s="240"/>
      <c r="F21" s="240"/>
      <c r="G21" s="286"/>
      <c r="H21" s="286"/>
      <c r="I21" s="379">
        <v>50000</v>
      </c>
    </row>
    <row r="22" spans="1:10" x14ac:dyDescent="0.25">
      <c r="A22" s="380" t="s">
        <v>548</v>
      </c>
      <c r="B22" s="376"/>
      <c r="C22" s="377"/>
      <c r="D22" s="378"/>
      <c r="E22" s="240"/>
      <c r="F22" s="240"/>
      <c r="G22" s="286"/>
      <c r="H22" s="286"/>
      <c r="I22" s="379"/>
    </row>
    <row r="23" spans="1:10" x14ac:dyDescent="0.25">
      <c r="A23" s="375"/>
      <c r="B23" s="376" t="s">
        <v>549</v>
      </c>
      <c r="C23" s="377" t="s">
        <v>97</v>
      </c>
      <c r="D23" s="378"/>
      <c r="E23" s="240">
        <v>25000</v>
      </c>
      <c r="F23" s="240">
        <v>15905.6</v>
      </c>
      <c r="G23" s="286">
        <f>H23-F23</f>
        <v>8999.9999999999982</v>
      </c>
      <c r="H23" s="286">
        <v>24905.599999999999</v>
      </c>
      <c r="I23" s="379">
        <v>73499.8</v>
      </c>
    </row>
    <row r="24" spans="1:10" x14ac:dyDescent="0.25">
      <c r="A24" s="375"/>
      <c r="B24" s="376" t="s">
        <v>550</v>
      </c>
      <c r="C24" s="377"/>
      <c r="D24" s="378">
        <v>10000</v>
      </c>
      <c r="E24" s="240"/>
      <c r="F24" s="240"/>
      <c r="G24" s="286"/>
      <c r="H24" s="286"/>
      <c r="I24" s="379">
        <v>73499.8</v>
      </c>
    </row>
    <row r="25" spans="1:10" x14ac:dyDescent="0.25">
      <c r="A25" s="375"/>
      <c r="B25" s="376" t="s">
        <v>551</v>
      </c>
      <c r="C25" s="377"/>
      <c r="D25" s="378"/>
      <c r="E25" s="240"/>
      <c r="F25" s="240"/>
      <c r="G25" s="286"/>
      <c r="H25" s="286"/>
      <c r="I25" s="379">
        <v>50000</v>
      </c>
    </row>
    <row r="26" spans="1:10" x14ac:dyDescent="0.25">
      <c r="A26" s="375"/>
      <c r="B26" s="376" t="s">
        <v>552</v>
      </c>
      <c r="C26" s="377" t="str">
        <f>[3]AGRI!E31</f>
        <v>5-02-02-010</v>
      </c>
      <c r="D26" s="378"/>
      <c r="E26" s="240"/>
      <c r="F26" s="240"/>
      <c r="G26" s="286"/>
      <c r="H26" s="286"/>
      <c r="I26" s="379">
        <v>30000</v>
      </c>
    </row>
    <row r="27" spans="1:10" x14ac:dyDescent="0.25">
      <c r="A27" s="375"/>
      <c r="B27" s="376" t="s">
        <v>553</v>
      </c>
      <c r="C27" s="377"/>
      <c r="D27" s="378"/>
      <c r="E27" s="240"/>
      <c r="F27" s="240"/>
      <c r="G27" s="286"/>
      <c r="H27" s="286"/>
      <c r="I27" s="379">
        <v>50000</v>
      </c>
    </row>
    <row r="28" spans="1:10" x14ac:dyDescent="0.25">
      <c r="A28" s="384" t="s">
        <v>554</v>
      </c>
      <c r="B28" s="376"/>
      <c r="C28" s="377"/>
      <c r="D28" s="378"/>
      <c r="E28" s="240"/>
      <c r="F28" s="240"/>
      <c r="G28" s="286"/>
      <c r="H28" s="286"/>
      <c r="I28" s="379"/>
    </row>
    <row r="29" spans="1:10" x14ac:dyDescent="0.25">
      <c r="A29" s="375"/>
      <c r="B29" s="376" t="s">
        <v>555</v>
      </c>
      <c r="C29" s="377" t="s">
        <v>171</v>
      </c>
      <c r="D29" s="378">
        <v>5000</v>
      </c>
      <c r="E29" s="240">
        <v>5000</v>
      </c>
      <c r="F29" s="240"/>
      <c r="G29" s="286">
        <f>H29-F29</f>
        <v>0</v>
      </c>
      <c r="H29" s="286">
        <v>0</v>
      </c>
      <c r="I29" s="379">
        <v>5000</v>
      </c>
    </row>
    <row r="30" spans="1:10" x14ac:dyDescent="0.25">
      <c r="A30" s="375"/>
      <c r="B30" s="376" t="s">
        <v>556</v>
      </c>
      <c r="C30" s="377" t="s">
        <v>103</v>
      </c>
      <c r="D30" s="378">
        <v>5000</v>
      </c>
      <c r="E30" s="240">
        <v>5000</v>
      </c>
      <c r="F30" s="240"/>
      <c r="G30" s="286">
        <f>H30-F30</f>
        <v>0</v>
      </c>
      <c r="H30" s="286">
        <v>0</v>
      </c>
      <c r="I30" s="379">
        <v>5000</v>
      </c>
    </row>
    <row r="31" spans="1:10" x14ac:dyDescent="0.25">
      <c r="A31" s="375"/>
      <c r="B31" s="376" t="s">
        <v>557</v>
      </c>
      <c r="C31" s="377" t="s">
        <v>103</v>
      </c>
      <c r="D31" s="378"/>
      <c r="E31" s="240">
        <v>5000</v>
      </c>
      <c r="F31" s="240"/>
      <c r="G31" s="286">
        <f>H31-F31</f>
        <v>0</v>
      </c>
      <c r="H31" s="286">
        <v>0</v>
      </c>
      <c r="I31" s="379">
        <v>5000</v>
      </c>
    </row>
    <row r="32" spans="1:10" x14ac:dyDescent="0.25">
      <c r="A32" s="375"/>
      <c r="B32" s="376" t="s">
        <v>558</v>
      </c>
      <c r="C32" s="377"/>
      <c r="D32" s="378"/>
      <c r="E32" s="240"/>
      <c r="F32" s="240"/>
      <c r="G32" s="286"/>
      <c r="H32" s="286"/>
      <c r="I32" s="379">
        <v>68000</v>
      </c>
    </row>
    <row r="33" spans="1:12" x14ac:dyDescent="0.25">
      <c r="A33" s="375"/>
      <c r="B33" s="376" t="s">
        <v>66</v>
      </c>
      <c r="C33" s="377"/>
      <c r="D33" s="378"/>
      <c r="E33" s="240">
        <v>248045.71</v>
      </c>
      <c r="F33" s="240"/>
      <c r="G33" s="286">
        <f>H33-F33</f>
        <v>104805</v>
      </c>
      <c r="H33" s="286">
        <v>104805</v>
      </c>
      <c r="I33" s="379">
        <v>50000</v>
      </c>
    </row>
    <row r="34" spans="1:12" x14ac:dyDescent="0.25">
      <c r="A34" s="375"/>
      <c r="B34" s="376" t="s">
        <v>559</v>
      </c>
      <c r="C34" s="377" t="str">
        <f>[3]MENRO!E29</f>
        <v>5-02-99-990</v>
      </c>
      <c r="D34" s="378"/>
      <c r="E34" s="240">
        <v>25000</v>
      </c>
      <c r="F34" s="240"/>
      <c r="G34" s="286">
        <f>H34-F34</f>
        <v>6200</v>
      </c>
      <c r="H34" s="286">
        <v>6200</v>
      </c>
      <c r="I34" s="379">
        <v>67068.17</v>
      </c>
    </row>
    <row r="35" spans="1:12" ht="15.75" thickBot="1" x14ac:dyDescent="0.3">
      <c r="A35" s="385"/>
      <c r="B35" s="386" t="s">
        <v>21</v>
      </c>
      <c r="C35" s="387"/>
      <c r="D35" s="388">
        <f>SUM(D14:D34)</f>
        <v>39500</v>
      </c>
      <c r="E35" s="388">
        <f>SUM(E14:E27)</f>
        <v>45000</v>
      </c>
      <c r="F35" s="388">
        <f>SUM(F14:F34)</f>
        <v>15905.6</v>
      </c>
      <c r="G35" s="388">
        <f>SUM(G14:G34)</f>
        <v>139634.81</v>
      </c>
      <c r="H35" s="388">
        <f>SUM(H14:H34)</f>
        <v>155540.41</v>
      </c>
      <c r="I35" s="388">
        <f>SUM(I14:I34)</f>
        <v>1104067.77</v>
      </c>
      <c r="J35" s="37"/>
      <c r="L35" s="389"/>
    </row>
    <row r="36" spans="1:12" ht="15.75" thickTop="1" x14ac:dyDescent="0.25">
      <c r="J36" s="25"/>
    </row>
    <row r="37" spans="1:12" s="114" customFormat="1" ht="15.75" x14ac:dyDescent="0.25">
      <c r="B37" s="114" t="s">
        <v>22</v>
      </c>
      <c r="C37" s="114" t="s">
        <v>23</v>
      </c>
      <c r="G37" s="114" t="s">
        <v>24</v>
      </c>
    </row>
    <row r="38" spans="1:12" s="114" customFormat="1" ht="37.5" customHeight="1" x14ac:dyDescent="0.25"/>
    <row r="39" spans="1:12" s="114" customFormat="1" ht="15.75" x14ac:dyDescent="0.25">
      <c r="B39" s="205" t="s">
        <v>152</v>
      </c>
      <c r="C39" s="1069" t="s">
        <v>51</v>
      </c>
      <c r="D39" s="1069"/>
      <c r="E39" s="1069"/>
      <c r="F39" s="1069"/>
      <c r="G39" s="1069" t="s">
        <v>117</v>
      </c>
      <c r="H39" s="1069"/>
      <c r="I39" s="1069"/>
    </row>
    <row r="40" spans="1:12" s="114" customFormat="1" ht="15.75" x14ac:dyDescent="0.25">
      <c r="B40" s="365" t="s">
        <v>560</v>
      </c>
      <c r="C40" s="1207" t="s">
        <v>561</v>
      </c>
      <c r="D40" s="1207"/>
      <c r="E40" s="1207"/>
      <c r="F40" s="1207"/>
      <c r="G40" s="1207" t="s">
        <v>562</v>
      </c>
      <c r="H40" s="1207"/>
      <c r="I40" s="1207"/>
    </row>
    <row r="41" spans="1:12" s="114" customFormat="1" ht="15.75" x14ac:dyDescent="0.25"/>
    <row r="44" spans="1:12" x14ac:dyDescent="0.25">
      <c r="F44" s="37"/>
      <c r="G44" s="37"/>
      <c r="H44" s="37"/>
      <c r="I44" s="37"/>
      <c r="J44" s="37"/>
    </row>
    <row r="45" spans="1:12" x14ac:dyDescent="0.25">
      <c r="F45" s="37"/>
      <c r="G45" s="37"/>
      <c r="H45" s="37"/>
      <c r="I45" s="37"/>
      <c r="J45" s="37"/>
    </row>
  </sheetData>
  <sheetProtection algorithmName="SHA-512" hashValue="dp4/s0BXH/+G+t3PdJZn6TbD+AmTIFKwJR+fN+JLQFDy2MAESkzMG5/A+GFzt31z5WkyXAiIZ4Rlve4cMX7I5w==" saltValue="dWScuXIYLtknuuWRHv/UJw==" spinCount="100000" sheet="1" objects="1" scenarios="1" selectLockedCells="1" selectUnlockedCells="1"/>
  <mergeCells count="8">
    <mergeCell ref="C40:F40"/>
    <mergeCell ref="G40:I40"/>
    <mergeCell ref="A3:I3"/>
    <mergeCell ref="A4:I4"/>
    <mergeCell ref="A6:I6"/>
    <mergeCell ref="F8:H8"/>
    <mergeCell ref="C39:F39"/>
    <mergeCell ref="G39:I39"/>
  </mergeCells>
  <conditionalFormatting sqref="C16">
    <cfRule type="expression" dxfId="68" priority="2">
      <formula>ISNUMBER(SEARCH($B$2,C9))</formula>
    </cfRule>
  </conditionalFormatting>
  <conditionalFormatting sqref="C19">
    <cfRule type="expression" dxfId="67" priority="1">
      <formula>ISNUMBER(SEARCH($B$2,#REF!))</formula>
    </cfRule>
  </conditionalFormatting>
  <printOptions horizontalCentered="1"/>
  <pageMargins left="0.63" right="0.71" top="0.75" bottom="0.75" header="0.3" footer="0.3"/>
  <pageSetup scale="85" orientation="portrait" horizontalDpi="0" verticalDpi="0" r:id="rId1"/>
  <colBreaks count="1" manualBreakCount="1">
    <brk id="9" max="1048575" man="1"/>
  </colBreak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65"/>
  <sheetViews>
    <sheetView topLeftCell="A7" zoomScale="96" zoomScaleNormal="96" workbookViewId="0">
      <selection activeCell="A62" sqref="A62"/>
    </sheetView>
  </sheetViews>
  <sheetFormatPr defaultRowHeight="15" x14ac:dyDescent="0.25"/>
  <cols>
    <col min="1" max="1" width="41.85546875" style="36" customWidth="1"/>
    <col min="2" max="3" width="13.42578125" style="36" customWidth="1"/>
    <col min="4" max="4" width="13.42578125" style="36" hidden="1" customWidth="1"/>
    <col min="5" max="8" width="13.42578125" style="36" customWidth="1"/>
    <col min="9" max="9" width="11.7109375" style="36" bestFit="1" customWidth="1"/>
    <col min="10" max="10" width="17" style="36" customWidth="1"/>
    <col min="11" max="12" width="12.28515625" style="36" bestFit="1" customWidth="1"/>
    <col min="13" max="16384" width="9.140625" style="36"/>
  </cols>
  <sheetData>
    <row r="1" spans="1:8" x14ac:dyDescent="0.25">
      <c r="A1" s="36" t="s">
        <v>318</v>
      </c>
      <c r="H1" s="36" t="s">
        <v>319</v>
      </c>
    </row>
    <row r="3" spans="1:8" s="114" customFormat="1" ht="15.75" x14ac:dyDescent="0.25">
      <c r="A3" s="1069" t="s">
        <v>320</v>
      </c>
      <c r="B3" s="1069"/>
      <c r="C3" s="1069"/>
      <c r="D3" s="1069"/>
      <c r="E3" s="1069"/>
      <c r="F3" s="1069"/>
      <c r="G3" s="1069"/>
      <c r="H3" s="1069"/>
    </row>
    <row r="4" spans="1:8" s="114" customFormat="1" ht="15.75" x14ac:dyDescent="0.25">
      <c r="A4" s="1069" t="s">
        <v>380</v>
      </c>
      <c r="B4" s="1069"/>
      <c r="C4" s="1069"/>
      <c r="D4" s="1069"/>
      <c r="E4" s="1069"/>
      <c r="F4" s="1069"/>
      <c r="G4" s="1069"/>
      <c r="H4" s="1069"/>
    </row>
    <row r="5" spans="1:8" s="114" customFormat="1" ht="15.75" x14ac:dyDescent="0.25"/>
    <row r="6" spans="1:8" s="114" customFormat="1" ht="19.5" customHeight="1" x14ac:dyDescent="0.25">
      <c r="A6" s="1069" t="s">
        <v>563</v>
      </c>
      <c r="B6" s="1069"/>
      <c r="C6" s="1069"/>
      <c r="D6" s="1069"/>
      <c r="E6" s="1069"/>
      <c r="F6" s="1069"/>
      <c r="G6" s="1069"/>
      <c r="H6" s="1069"/>
    </row>
    <row r="7" spans="1:8" s="114" customFormat="1" ht="19.5" customHeight="1" x14ac:dyDescent="0.25">
      <c r="A7" s="390"/>
      <c r="B7" s="390"/>
      <c r="C7" s="390"/>
      <c r="D7" s="390"/>
      <c r="E7" s="390"/>
      <c r="F7" s="390"/>
      <c r="G7" s="390"/>
      <c r="H7" s="391"/>
    </row>
    <row r="8" spans="1:8" ht="23.25" customHeight="1" x14ac:dyDescent="0.25">
      <c r="A8" s="140"/>
      <c r="B8" s="140"/>
      <c r="C8" s="209"/>
      <c r="D8" s="392"/>
      <c r="E8" s="1208" t="s">
        <v>8</v>
      </c>
      <c r="F8" s="1209"/>
      <c r="G8" s="1210"/>
      <c r="H8" s="393" t="s">
        <v>564</v>
      </c>
    </row>
    <row r="9" spans="1:8" ht="60" customHeight="1" x14ac:dyDescent="0.25">
      <c r="A9" s="129" t="s">
        <v>0</v>
      </c>
      <c r="B9" s="210" t="s">
        <v>1</v>
      </c>
      <c r="C9" s="210" t="s">
        <v>534</v>
      </c>
      <c r="D9" s="210" t="s">
        <v>326</v>
      </c>
      <c r="E9" s="372" t="s">
        <v>535</v>
      </c>
      <c r="F9" s="372" t="s">
        <v>536</v>
      </c>
      <c r="G9" s="210" t="s">
        <v>21</v>
      </c>
      <c r="H9" s="129" t="s">
        <v>565</v>
      </c>
    </row>
    <row r="10" spans="1:8" ht="17.25" customHeight="1" x14ac:dyDescent="0.25">
      <c r="A10" s="129"/>
      <c r="B10" s="373"/>
      <c r="C10" s="210">
        <v>2017</v>
      </c>
      <c r="D10" s="210"/>
      <c r="E10" s="372">
        <v>2018</v>
      </c>
      <c r="F10" s="372">
        <v>2018</v>
      </c>
      <c r="G10" s="210"/>
      <c r="H10" s="372">
        <v>2019</v>
      </c>
    </row>
    <row r="11" spans="1:8" x14ac:dyDescent="0.25">
      <c r="A11" s="305">
        <v>1</v>
      </c>
      <c r="B11" s="304">
        <v>2</v>
      </c>
      <c r="C11" s="305">
        <v>3</v>
      </c>
      <c r="D11" s="305"/>
      <c r="E11" s="305">
        <v>4</v>
      </c>
      <c r="F11" s="305">
        <v>5</v>
      </c>
      <c r="G11" s="305">
        <v>6</v>
      </c>
      <c r="H11" s="305">
        <v>7</v>
      </c>
    </row>
    <row r="12" spans="1:8" x14ac:dyDescent="0.25">
      <c r="A12" s="394" t="s">
        <v>14</v>
      </c>
      <c r="B12" s="394"/>
      <c r="C12" s="394"/>
      <c r="D12" s="394"/>
      <c r="E12" s="395"/>
      <c r="F12" s="99"/>
      <c r="G12" s="99"/>
      <c r="H12" s="99"/>
    </row>
    <row r="13" spans="1:8" hidden="1" x14ac:dyDescent="0.25">
      <c r="A13" s="396" t="s">
        <v>566</v>
      </c>
      <c r="B13" s="89"/>
      <c r="C13" s="397"/>
      <c r="D13" s="397"/>
      <c r="E13" s="192"/>
      <c r="F13" s="398"/>
      <c r="G13" s="398"/>
      <c r="H13" s="398"/>
    </row>
    <row r="14" spans="1:8" hidden="1" x14ac:dyDescent="0.25">
      <c r="A14" s="399" t="s">
        <v>567</v>
      </c>
      <c r="B14" s="89"/>
      <c r="C14" s="397"/>
      <c r="D14" s="398">
        <v>36000</v>
      </c>
      <c r="E14" s="192"/>
      <c r="F14" s="398">
        <f>G14-E14</f>
        <v>35990</v>
      </c>
      <c r="G14" s="398">
        <v>35990</v>
      </c>
      <c r="H14" s="398"/>
    </row>
    <row r="15" spans="1:8" hidden="1" x14ac:dyDescent="0.25">
      <c r="A15" s="399" t="s">
        <v>568</v>
      </c>
      <c r="B15" s="89"/>
      <c r="C15" s="397"/>
      <c r="D15" s="398">
        <v>75000</v>
      </c>
      <c r="E15" s="192"/>
      <c r="F15" s="398">
        <f t="shared" ref="F15:F29" si="0">G15-E15</f>
        <v>75000</v>
      </c>
      <c r="G15" s="398">
        <v>75000</v>
      </c>
      <c r="H15" s="398"/>
    </row>
    <row r="16" spans="1:8" hidden="1" x14ac:dyDescent="0.25">
      <c r="A16" s="399" t="s">
        <v>569</v>
      </c>
      <c r="B16" s="89"/>
      <c r="C16" s="397"/>
      <c r="D16" s="398">
        <v>36600</v>
      </c>
      <c r="E16" s="192"/>
      <c r="F16" s="398">
        <f t="shared" si="0"/>
        <v>33790</v>
      </c>
      <c r="G16" s="398">
        <v>33790</v>
      </c>
      <c r="H16" s="398"/>
    </row>
    <row r="17" spans="1:8" hidden="1" x14ac:dyDescent="0.25">
      <c r="A17" s="399" t="s">
        <v>570</v>
      </c>
      <c r="B17" s="89"/>
      <c r="C17" s="397"/>
      <c r="D17" s="398">
        <v>50000</v>
      </c>
      <c r="E17" s="192"/>
      <c r="F17" s="398">
        <f t="shared" si="0"/>
        <v>0</v>
      </c>
      <c r="G17" s="398"/>
      <c r="H17" s="398"/>
    </row>
    <row r="18" spans="1:8" hidden="1" x14ac:dyDescent="0.25">
      <c r="A18" s="399" t="s">
        <v>571</v>
      </c>
      <c r="B18" s="89"/>
      <c r="C18" s="397"/>
      <c r="D18" s="398">
        <v>50000</v>
      </c>
      <c r="E18" s="192"/>
      <c r="F18" s="398">
        <f t="shared" si="0"/>
        <v>49970</v>
      </c>
      <c r="G18" s="192">
        <v>49970</v>
      </c>
      <c r="H18" s="398"/>
    </row>
    <row r="19" spans="1:8" hidden="1" x14ac:dyDescent="0.25">
      <c r="A19" s="399" t="s">
        <v>572</v>
      </c>
      <c r="B19" s="89"/>
      <c r="C19" s="397"/>
      <c r="D19" s="398">
        <v>50000</v>
      </c>
      <c r="E19" s="192">
        <v>7440</v>
      </c>
      <c r="F19" s="398">
        <f t="shared" si="0"/>
        <v>40870</v>
      </c>
      <c r="G19" s="192">
        <v>48310</v>
      </c>
      <c r="H19" s="398"/>
    </row>
    <row r="20" spans="1:8" hidden="1" x14ac:dyDescent="0.25">
      <c r="A20" s="399" t="s">
        <v>573</v>
      </c>
      <c r="B20" s="89"/>
      <c r="C20" s="397"/>
      <c r="D20" s="192">
        <v>50000</v>
      </c>
      <c r="E20" s="192"/>
      <c r="F20" s="398">
        <f t="shared" si="0"/>
        <v>38000</v>
      </c>
      <c r="G20" s="192">
        <v>38000</v>
      </c>
      <c r="H20" s="192"/>
    </row>
    <row r="21" spans="1:8" hidden="1" x14ac:dyDescent="0.25">
      <c r="A21" s="399" t="s">
        <v>574</v>
      </c>
      <c r="B21" s="89"/>
      <c r="C21" s="397"/>
      <c r="D21" s="192">
        <v>50000</v>
      </c>
      <c r="E21" s="192"/>
      <c r="F21" s="398">
        <f t="shared" si="0"/>
        <v>40834</v>
      </c>
      <c r="G21" s="192">
        <v>40834</v>
      </c>
      <c r="H21" s="192"/>
    </row>
    <row r="22" spans="1:8" hidden="1" x14ac:dyDescent="0.25">
      <c r="A22" s="102" t="s">
        <v>575</v>
      </c>
      <c r="B22" s="89"/>
      <c r="C22" s="397"/>
      <c r="D22" s="398">
        <v>72000</v>
      </c>
      <c r="E22" s="192"/>
      <c r="F22" s="398">
        <f t="shared" si="0"/>
        <v>93920</v>
      </c>
      <c r="G22" s="192">
        <v>93920</v>
      </c>
      <c r="H22" s="398"/>
    </row>
    <row r="23" spans="1:8" hidden="1" x14ac:dyDescent="0.25">
      <c r="A23" s="399" t="s">
        <v>576</v>
      </c>
      <c r="B23" s="89"/>
      <c r="C23" s="397"/>
      <c r="D23" s="398">
        <v>144000</v>
      </c>
      <c r="E23" s="192"/>
      <c r="F23" s="398">
        <f t="shared" si="0"/>
        <v>93499.9</v>
      </c>
      <c r="G23" s="192">
        <v>93499.9</v>
      </c>
      <c r="H23" s="398"/>
    </row>
    <row r="24" spans="1:8" hidden="1" x14ac:dyDescent="0.25">
      <c r="A24" s="399" t="s">
        <v>577</v>
      </c>
      <c r="B24" s="89"/>
      <c r="C24" s="397"/>
      <c r="D24" s="398">
        <v>36000</v>
      </c>
      <c r="E24" s="192"/>
      <c r="F24" s="398">
        <f t="shared" si="0"/>
        <v>31550</v>
      </c>
      <c r="G24" s="192">
        <v>31550</v>
      </c>
      <c r="H24" s="398"/>
    </row>
    <row r="25" spans="1:8" hidden="1" x14ac:dyDescent="0.25">
      <c r="A25" s="102" t="s">
        <v>578</v>
      </c>
      <c r="B25" s="89"/>
      <c r="C25" s="397"/>
      <c r="D25" s="192">
        <v>100000</v>
      </c>
      <c r="E25" s="192"/>
      <c r="F25" s="398">
        <f t="shared" si="0"/>
        <v>150000</v>
      </c>
      <c r="G25" s="192">
        <v>150000</v>
      </c>
      <c r="H25" s="192"/>
    </row>
    <row r="26" spans="1:8" hidden="1" x14ac:dyDescent="0.25">
      <c r="A26" s="396"/>
      <c r="B26" s="400"/>
      <c r="C26" s="401"/>
      <c r="D26" s="402"/>
      <c r="E26" s="403"/>
      <c r="F26" s="404"/>
      <c r="G26" s="403"/>
      <c r="H26" s="403"/>
    </row>
    <row r="27" spans="1:8" hidden="1" x14ac:dyDescent="0.25">
      <c r="A27" s="399" t="s">
        <v>579</v>
      </c>
      <c r="B27" s="89"/>
      <c r="C27" s="397"/>
      <c r="D27" s="398">
        <v>163774.54</v>
      </c>
      <c r="E27" s="192">
        <v>5343</v>
      </c>
      <c r="F27" s="398">
        <f t="shared" si="0"/>
        <v>158058.48000000001</v>
      </c>
      <c r="G27" s="192">
        <v>163401.48000000001</v>
      </c>
      <c r="H27" s="398"/>
    </row>
    <row r="28" spans="1:8" hidden="1" x14ac:dyDescent="0.25">
      <c r="A28" s="399" t="s">
        <v>580</v>
      </c>
      <c r="B28" s="89"/>
      <c r="C28" s="397"/>
      <c r="D28" s="398">
        <v>243339.31</v>
      </c>
      <c r="E28" s="192"/>
      <c r="F28" s="398">
        <f t="shared" si="0"/>
        <v>15391.39</v>
      </c>
      <c r="G28" s="192">
        <v>15391.39</v>
      </c>
      <c r="H28" s="398"/>
    </row>
    <row r="29" spans="1:8" hidden="1" x14ac:dyDescent="0.25">
      <c r="A29" s="399" t="s">
        <v>581</v>
      </c>
      <c r="B29" s="89"/>
      <c r="C29" s="397"/>
      <c r="D29" s="398">
        <v>163774.54</v>
      </c>
      <c r="E29" s="192">
        <v>6792.27</v>
      </c>
      <c r="F29" s="398">
        <f t="shared" si="0"/>
        <v>65455.509999999995</v>
      </c>
      <c r="G29" s="192">
        <v>72247.78</v>
      </c>
      <c r="H29" s="398"/>
    </row>
    <row r="30" spans="1:8" x14ac:dyDescent="0.25">
      <c r="A30" s="399"/>
      <c r="B30" s="89"/>
      <c r="C30" s="397"/>
      <c r="D30" s="398"/>
      <c r="E30" s="192"/>
      <c r="F30" s="398"/>
      <c r="G30" s="192"/>
      <c r="H30" s="398"/>
    </row>
    <row r="31" spans="1:8" x14ac:dyDescent="0.25">
      <c r="A31" s="396" t="s">
        <v>582</v>
      </c>
      <c r="B31" s="89"/>
      <c r="C31" s="397"/>
      <c r="D31" s="398"/>
      <c r="E31" s="192"/>
      <c r="F31" s="398"/>
      <c r="G31" s="192"/>
      <c r="H31" s="398"/>
    </row>
    <row r="32" spans="1:8" x14ac:dyDescent="0.25">
      <c r="A32" s="399" t="s">
        <v>583</v>
      </c>
      <c r="B32" s="89"/>
      <c r="C32" s="397">
        <v>8550</v>
      </c>
      <c r="D32" s="398"/>
      <c r="E32" s="192">
        <v>11200</v>
      </c>
      <c r="F32" s="398">
        <f t="shared" ref="F32:F33" si="1">G32-E32</f>
        <v>16710</v>
      </c>
      <c r="G32" s="192">
        <v>27910</v>
      </c>
      <c r="H32" s="398"/>
    </row>
    <row r="33" spans="1:12" x14ac:dyDescent="0.25">
      <c r="A33" s="399" t="s">
        <v>435</v>
      </c>
      <c r="B33" s="89"/>
      <c r="C33" s="405">
        <v>6580</v>
      </c>
      <c r="D33" s="398">
        <v>10000</v>
      </c>
      <c r="E33" s="192">
        <v>2520</v>
      </c>
      <c r="F33" s="398">
        <f t="shared" si="1"/>
        <v>7330</v>
      </c>
      <c r="G33" s="192">
        <v>9850</v>
      </c>
      <c r="H33" s="398"/>
    </row>
    <row r="34" spans="1:12" x14ac:dyDescent="0.25">
      <c r="A34" s="399" t="s">
        <v>584</v>
      </c>
      <c r="B34" s="89"/>
      <c r="C34" s="85"/>
      <c r="D34" s="398"/>
      <c r="E34" s="192"/>
      <c r="F34" s="398"/>
      <c r="G34" s="192"/>
      <c r="H34" s="398">
        <v>7680</v>
      </c>
    </row>
    <row r="35" spans="1:12" x14ac:dyDescent="0.25">
      <c r="A35" s="399" t="s">
        <v>585</v>
      </c>
      <c r="B35" s="89"/>
      <c r="C35" s="85"/>
      <c r="D35" s="398"/>
      <c r="E35" s="192"/>
      <c r="F35" s="398"/>
      <c r="G35" s="192"/>
      <c r="H35" s="398">
        <v>2560</v>
      </c>
    </row>
    <row r="36" spans="1:12" x14ac:dyDescent="0.25">
      <c r="A36" s="399" t="s">
        <v>586</v>
      </c>
      <c r="B36" s="89"/>
      <c r="C36" s="85"/>
      <c r="D36" s="398"/>
      <c r="E36" s="192"/>
      <c r="F36" s="398"/>
      <c r="G36" s="192"/>
      <c r="H36" s="398">
        <v>6300</v>
      </c>
    </row>
    <row r="37" spans="1:12" x14ac:dyDescent="0.25">
      <c r="A37" s="399" t="s">
        <v>587</v>
      </c>
      <c r="B37" s="89"/>
      <c r="C37" s="85"/>
      <c r="D37" s="398"/>
      <c r="E37" s="192"/>
      <c r="F37" s="398"/>
      <c r="G37" s="192"/>
      <c r="H37" s="398">
        <v>6300</v>
      </c>
    </row>
    <row r="38" spans="1:12" x14ac:dyDescent="0.25">
      <c r="A38" s="399" t="s">
        <v>588</v>
      </c>
      <c r="B38" s="89"/>
      <c r="C38" s="85"/>
      <c r="D38" s="398"/>
      <c r="E38" s="192"/>
      <c r="F38" s="398"/>
      <c r="G38" s="192"/>
      <c r="H38" s="398">
        <v>10388.17</v>
      </c>
    </row>
    <row r="39" spans="1:12" x14ac:dyDescent="0.25">
      <c r="A39" s="399" t="s">
        <v>589</v>
      </c>
      <c r="B39" s="89"/>
      <c r="C39" s="397"/>
      <c r="D39" s="398"/>
      <c r="E39" s="192"/>
      <c r="F39" s="398"/>
      <c r="G39" s="192"/>
      <c r="H39" s="398">
        <f>140000-140000</f>
        <v>0</v>
      </c>
      <c r="I39" s="37"/>
      <c r="J39" s="139"/>
    </row>
    <row r="40" spans="1:12" x14ac:dyDescent="0.25">
      <c r="A40" s="399" t="s">
        <v>590</v>
      </c>
      <c r="B40" s="89"/>
      <c r="C40" s="397"/>
      <c r="D40" s="398"/>
      <c r="E40" s="192"/>
      <c r="F40" s="398"/>
      <c r="G40" s="192"/>
      <c r="H40" s="398">
        <v>35000</v>
      </c>
    </row>
    <row r="41" spans="1:12" x14ac:dyDescent="0.25">
      <c r="A41" s="399" t="s">
        <v>591</v>
      </c>
      <c r="B41" s="89"/>
      <c r="C41" s="397"/>
      <c r="D41" s="398"/>
      <c r="E41" s="192"/>
      <c r="F41" s="398"/>
      <c r="G41" s="192"/>
      <c r="H41" s="398">
        <f>52800-52800</f>
        <v>0</v>
      </c>
    </row>
    <row r="42" spans="1:12" x14ac:dyDescent="0.25">
      <c r="A42" s="399" t="s">
        <v>236</v>
      </c>
      <c r="B42" s="89" t="str">
        <f>[2]piwas!$C$34</f>
        <v>5-02-03-010</v>
      </c>
      <c r="C42" s="397"/>
      <c r="D42" s="398"/>
      <c r="E42" s="192"/>
      <c r="F42" s="398"/>
      <c r="G42" s="192"/>
      <c r="H42" s="398">
        <v>20000</v>
      </c>
    </row>
    <row r="43" spans="1:12" x14ac:dyDescent="0.25">
      <c r="A43" s="399" t="s">
        <v>592</v>
      </c>
      <c r="B43" s="89"/>
      <c r="C43" s="397"/>
      <c r="D43" s="398"/>
      <c r="E43" s="192"/>
      <c r="F43" s="398"/>
      <c r="G43" s="192"/>
      <c r="H43" s="398">
        <f>100000+92800</f>
        <v>192800</v>
      </c>
      <c r="J43" s="139"/>
      <c r="K43" s="139"/>
      <c r="L43" s="139"/>
    </row>
    <row r="44" spans="1:12" x14ac:dyDescent="0.25">
      <c r="A44" s="394"/>
      <c r="B44" s="28"/>
      <c r="C44" s="406"/>
      <c r="D44" s="407"/>
      <c r="E44" s="408"/>
      <c r="F44" s="407"/>
      <c r="G44" s="408"/>
      <c r="H44" s="407"/>
    </row>
    <row r="45" spans="1:12" x14ac:dyDescent="0.25">
      <c r="A45" s="396" t="s">
        <v>593</v>
      </c>
      <c r="B45" s="89"/>
      <c r="C45" s="397"/>
      <c r="D45" s="398"/>
      <c r="E45" s="192"/>
      <c r="F45" s="398"/>
      <c r="G45" s="192"/>
      <c r="H45" s="398"/>
    </row>
    <row r="46" spans="1:12" x14ac:dyDescent="0.25">
      <c r="A46" s="399" t="s">
        <v>594</v>
      </c>
      <c r="B46" s="89"/>
      <c r="C46" s="397"/>
      <c r="D46" s="398"/>
      <c r="E46" s="192"/>
      <c r="F46" s="398"/>
      <c r="G46" s="192"/>
      <c r="H46" s="398">
        <v>2560</v>
      </c>
    </row>
    <row r="47" spans="1:12" x14ac:dyDescent="0.25">
      <c r="A47" s="399" t="s">
        <v>595</v>
      </c>
      <c r="B47" s="89"/>
      <c r="C47" s="397"/>
      <c r="D47" s="398"/>
      <c r="E47" s="192"/>
      <c r="F47" s="398"/>
      <c r="G47" s="192"/>
      <c r="H47" s="398">
        <v>1280</v>
      </c>
    </row>
    <row r="48" spans="1:12" x14ac:dyDescent="0.25">
      <c r="A48" s="409" t="s">
        <v>596</v>
      </c>
      <c r="B48" s="89" t="s">
        <v>284</v>
      </c>
      <c r="C48" s="85">
        <v>37640</v>
      </c>
      <c r="D48" s="192">
        <v>37800</v>
      </c>
      <c r="E48" s="192">
        <v>15750</v>
      </c>
      <c r="F48" s="192">
        <f t="shared" ref="F48:F55" si="2">G48-E48</f>
        <v>20155.900000000001</v>
      </c>
      <c r="G48" s="192">
        <v>35905.9</v>
      </c>
      <c r="H48" s="192">
        <v>50400</v>
      </c>
    </row>
    <row r="49" spans="1:11" x14ac:dyDescent="0.25">
      <c r="A49" s="409" t="s">
        <v>597</v>
      </c>
      <c r="B49" s="89" t="s">
        <v>284</v>
      </c>
      <c r="C49" s="397"/>
      <c r="D49" s="192"/>
      <c r="E49" s="192"/>
      <c r="F49" s="192"/>
      <c r="G49" s="192"/>
      <c r="H49" s="192">
        <v>24000</v>
      </c>
    </row>
    <row r="50" spans="1:11" x14ac:dyDescent="0.25">
      <c r="A50" s="399" t="s">
        <v>598</v>
      </c>
      <c r="B50" s="89"/>
      <c r="C50" s="397"/>
      <c r="D50" s="192"/>
      <c r="E50" s="192"/>
      <c r="F50" s="192"/>
      <c r="G50" s="192"/>
      <c r="H50" s="192">
        <f>52800-52800</f>
        <v>0</v>
      </c>
    </row>
    <row r="51" spans="1:11" ht="30" x14ac:dyDescent="0.25">
      <c r="A51" s="410" t="s">
        <v>599</v>
      </c>
      <c r="B51" s="89"/>
      <c r="C51" s="397"/>
      <c r="D51" s="192"/>
      <c r="E51" s="192"/>
      <c r="F51" s="192"/>
      <c r="G51" s="192"/>
      <c r="H51" s="411">
        <f>60000</f>
        <v>60000</v>
      </c>
    </row>
    <row r="52" spans="1:11" x14ac:dyDescent="0.25">
      <c r="A52" s="399" t="s">
        <v>600</v>
      </c>
      <c r="B52" s="89" t="s">
        <v>141</v>
      </c>
      <c r="C52" s="397"/>
      <c r="D52" s="192">
        <v>40000</v>
      </c>
      <c r="E52" s="192"/>
      <c r="F52" s="192">
        <f>G52-E52</f>
        <v>40000</v>
      </c>
      <c r="G52" s="192">
        <v>40000</v>
      </c>
      <c r="H52" s="192">
        <v>40000</v>
      </c>
    </row>
    <row r="53" spans="1:11" x14ac:dyDescent="0.25">
      <c r="A53" s="399" t="s">
        <v>236</v>
      </c>
      <c r="B53" s="89" t="str">
        <f>[2]piwas!$C$34</f>
        <v>5-02-03-010</v>
      </c>
      <c r="C53" s="85">
        <v>72185.070000000007</v>
      </c>
      <c r="D53" s="192">
        <v>32900</v>
      </c>
      <c r="E53" s="192"/>
      <c r="F53" s="192">
        <f>G53-E53</f>
        <v>32362.720000000001</v>
      </c>
      <c r="G53" s="192">
        <v>32362.720000000001</v>
      </c>
      <c r="H53" s="192">
        <f>60000-7200</f>
        <v>52800</v>
      </c>
    </row>
    <row r="54" spans="1:11" x14ac:dyDescent="0.25">
      <c r="A54" s="399" t="s">
        <v>601</v>
      </c>
      <c r="B54" s="89"/>
      <c r="C54" s="85">
        <v>30000</v>
      </c>
      <c r="D54" s="192">
        <v>31500</v>
      </c>
      <c r="E54" s="192"/>
      <c r="F54" s="192">
        <f>G54-E54</f>
        <v>31500</v>
      </c>
      <c r="G54" s="192">
        <v>31500</v>
      </c>
      <c r="H54" s="192">
        <v>150000</v>
      </c>
    </row>
    <row r="55" spans="1:11" x14ac:dyDescent="0.25">
      <c r="A55" s="399" t="s">
        <v>435</v>
      </c>
      <c r="B55" s="89" t="s">
        <v>92</v>
      </c>
      <c r="C55" s="85">
        <v>9790</v>
      </c>
      <c r="D55" s="192">
        <v>10000</v>
      </c>
      <c r="E55" s="192">
        <v>2766</v>
      </c>
      <c r="F55" s="192">
        <f t="shared" si="2"/>
        <v>6576.68</v>
      </c>
      <c r="G55" s="192">
        <v>9342.68</v>
      </c>
      <c r="H55" s="192"/>
    </row>
    <row r="56" spans="1:11" x14ac:dyDescent="0.25">
      <c r="A56" s="399" t="s">
        <v>602</v>
      </c>
      <c r="B56" s="89"/>
      <c r="C56" s="397"/>
      <c r="D56" s="192"/>
      <c r="E56" s="192"/>
      <c r="F56" s="192"/>
      <c r="G56" s="192"/>
      <c r="H56" s="192"/>
    </row>
    <row r="57" spans="1:11" ht="30" x14ac:dyDescent="0.25">
      <c r="A57" s="410" t="s">
        <v>603</v>
      </c>
      <c r="B57" s="89" t="s">
        <v>141</v>
      </c>
      <c r="C57" s="397"/>
      <c r="D57" s="398"/>
      <c r="E57" s="192"/>
      <c r="F57" s="398"/>
      <c r="G57" s="192"/>
      <c r="H57" s="398">
        <f>266999.6+92800+7200</f>
        <v>366999.6</v>
      </c>
      <c r="J57" s="139"/>
      <c r="K57" s="139"/>
    </row>
    <row r="58" spans="1:11" x14ac:dyDescent="0.25">
      <c r="A58" s="399" t="s">
        <v>604</v>
      </c>
      <c r="B58" s="89" t="s">
        <v>141</v>
      </c>
      <c r="C58" s="397"/>
      <c r="D58" s="398">
        <v>30000</v>
      </c>
      <c r="E58" s="192"/>
      <c r="F58" s="398"/>
      <c r="G58" s="192"/>
      <c r="H58" s="398">
        <v>75000</v>
      </c>
      <c r="I58" s="139"/>
      <c r="J58" s="37"/>
      <c r="K58" s="139"/>
    </row>
    <row r="59" spans="1:11" x14ac:dyDescent="0.25">
      <c r="A59" s="142" t="s">
        <v>21</v>
      </c>
      <c r="B59" s="412"/>
      <c r="C59" s="413">
        <f>SUM(C14:C58)</f>
        <v>164745.07</v>
      </c>
      <c r="D59" s="413">
        <f t="shared" ref="D59:H59" si="3">SUM(D14:D58)</f>
        <v>1512688.3900000001</v>
      </c>
      <c r="E59" s="413">
        <f>SUM(E14:E58)</f>
        <v>51811.270000000004</v>
      </c>
      <c r="F59" s="413">
        <f>SUM(F14:F58)</f>
        <v>1076964.5799999998</v>
      </c>
      <c r="G59" s="413">
        <f>SUM(G14:G58)</f>
        <v>1128775.8500000001</v>
      </c>
      <c r="H59" s="413">
        <f t="shared" si="3"/>
        <v>1104067.77</v>
      </c>
      <c r="J59" s="37"/>
    </row>
    <row r="60" spans="1:11" x14ac:dyDescent="0.25">
      <c r="J60" s="139"/>
    </row>
    <row r="61" spans="1:11" s="114" customFormat="1" ht="15.75" x14ac:dyDescent="0.25">
      <c r="A61" s="365" t="s">
        <v>22</v>
      </c>
      <c r="B61" s="1207" t="s">
        <v>23</v>
      </c>
      <c r="C61" s="1207"/>
      <c r="D61" s="1207"/>
      <c r="G61" s="114" t="s">
        <v>24</v>
      </c>
    </row>
    <row r="62" spans="1:11" s="114" customFormat="1" ht="45.75" customHeight="1" x14ac:dyDescent="0.25"/>
    <row r="63" spans="1:11" s="114" customFormat="1" ht="15.75" x14ac:dyDescent="0.25">
      <c r="A63" s="205" t="s">
        <v>152</v>
      </c>
      <c r="B63" s="1069" t="s">
        <v>51</v>
      </c>
      <c r="C63" s="1069"/>
      <c r="D63" s="1069"/>
      <c r="E63" s="116"/>
      <c r="G63" s="116" t="s">
        <v>117</v>
      </c>
      <c r="H63" s="116"/>
    </row>
    <row r="64" spans="1:11" s="114" customFormat="1" ht="15.75" x14ac:dyDescent="0.25">
      <c r="A64" s="365" t="s">
        <v>63</v>
      </c>
      <c r="B64" s="1207" t="s">
        <v>64</v>
      </c>
      <c r="C64" s="1207"/>
      <c r="D64" s="1207"/>
      <c r="G64" s="114" t="s">
        <v>605</v>
      </c>
    </row>
    <row r="65" spans="1:6" ht="21" x14ac:dyDescent="0.35">
      <c r="A65" s="119"/>
      <c r="B65" s="119"/>
      <c r="C65" s="119"/>
      <c r="D65" s="119"/>
      <c r="E65" s="119"/>
      <c r="F65" s="119"/>
    </row>
  </sheetData>
  <sheetProtection algorithmName="SHA-512" hashValue="y+XKivSjnaC/pJJLhV24Bib1O5yQu4AgLIpWLDppN8L5mxIDquG82+eTvG3hmKqbfQ1HetvDhToyEWm7dsuvHw==" saltValue="tEII8wSCc8pOHPodu97jfw==" spinCount="100000" sheet="1" objects="1" scenarios="1" selectLockedCells="1" selectUnlockedCells="1"/>
  <mergeCells count="7">
    <mergeCell ref="B64:D64"/>
    <mergeCell ref="A3:H3"/>
    <mergeCell ref="A4:H4"/>
    <mergeCell ref="A6:H6"/>
    <mergeCell ref="E8:G8"/>
    <mergeCell ref="B61:D61"/>
    <mergeCell ref="B63:D63"/>
  </mergeCells>
  <conditionalFormatting sqref="H51">
    <cfRule type="expression" dxfId="66" priority="2">
      <formula>ISNUMBER(SEARCH($B$2,H45))</formula>
    </cfRule>
  </conditionalFormatting>
  <conditionalFormatting sqref="A51">
    <cfRule type="expression" dxfId="65" priority="1">
      <formula>ISNUMBER(SEARCH($B$2,#REF!))</formula>
    </cfRule>
  </conditionalFormatting>
  <printOptions horizontalCentered="1"/>
  <pageMargins left="1.1100000000000001" right="0.87" top="0.75" bottom="0.75" header="0.3" footer="0.3"/>
  <pageSetup scale="90" orientation="portrait" horizontalDpi="0" verticalDpi="0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topLeftCell="A35" zoomScale="120" zoomScaleNormal="120" zoomScaleSheetLayoutView="106" workbookViewId="0">
      <selection activeCell="D60" sqref="D60"/>
    </sheetView>
  </sheetViews>
  <sheetFormatPr defaultRowHeight="15" x14ac:dyDescent="0.25"/>
  <cols>
    <col min="1" max="1" width="2.28515625" style="36" customWidth="1"/>
    <col min="2" max="2" width="52.28515625" style="36" customWidth="1"/>
    <col min="3" max="4" width="13.42578125" style="36" customWidth="1"/>
    <col min="5" max="5" width="13.42578125" style="36" hidden="1" customWidth="1"/>
    <col min="6" max="9" width="13.42578125" style="36" customWidth="1"/>
    <col min="10" max="10" width="17.85546875" style="36" customWidth="1"/>
    <col min="11" max="11" width="15.85546875" style="36" bestFit="1" customWidth="1"/>
    <col min="12" max="16384" width="9.140625" style="36"/>
  </cols>
  <sheetData>
    <row r="1" spans="1:10" x14ac:dyDescent="0.25">
      <c r="A1" s="36" t="s">
        <v>9</v>
      </c>
      <c r="I1" s="159" t="s">
        <v>27</v>
      </c>
    </row>
    <row r="3" spans="1:10" s="114" customFormat="1" ht="15.75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  <c r="I3" s="1069"/>
    </row>
    <row r="4" spans="1:10" s="114" customFormat="1" ht="15.75" x14ac:dyDescent="0.25">
      <c r="A4" s="1069" t="s">
        <v>47</v>
      </c>
      <c r="B4" s="1069"/>
      <c r="C4" s="1069"/>
      <c r="D4" s="1069"/>
      <c r="E4" s="1069"/>
      <c r="F4" s="1069"/>
      <c r="G4" s="1069"/>
      <c r="H4" s="1069"/>
      <c r="I4" s="1069"/>
    </row>
    <row r="5" spans="1:10" s="114" customFormat="1" ht="15.75" x14ac:dyDescent="0.25">
      <c r="A5" s="1069" t="s">
        <v>606</v>
      </c>
      <c r="B5" s="1069"/>
      <c r="C5" s="1069"/>
      <c r="D5" s="1069"/>
      <c r="E5" s="1069"/>
      <c r="F5" s="1069"/>
      <c r="G5" s="1069"/>
      <c r="H5" s="1069"/>
      <c r="I5" s="1069"/>
    </row>
    <row r="7" spans="1:10" x14ac:dyDescent="0.25">
      <c r="A7" s="1075" t="s">
        <v>0</v>
      </c>
      <c r="B7" s="1071"/>
      <c r="C7" s="1073" t="s">
        <v>1</v>
      </c>
      <c r="D7" s="127"/>
      <c r="E7" s="211"/>
      <c r="F7" s="1075" t="s">
        <v>8</v>
      </c>
      <c r="G7" s="1076"/>
      <c r="H7" s="1071"/>
      <c r="I7" s="127" t="s">
        <v>3</v>
      </c>
    </row>
    <row r="8" spans="1:10" ht="45" x14ac:dyDescent="0.25">
      <c r="A8" s="1096"/>
      <c r="B8" s="1072"/>
      <c r="C8" s="1074"/>
      <c r="D8" s="210" t="s">
        <v>607</v>
      </c>
      <c r="E8" s="210" t="s">
        <v>475</v>
      </c>
      <c r="F8" s="209" t="s">
        <v>28</v>
      </c>
      <c r="G8" s="209" t="s">
        <v>30</v>
      </c>
      <c r="H8" s="127" t="s">
        <v>5</v>
      </c>
      <c r="I8" s="129" t="s">
        <v>6</v>
      </c>
    </row>
    <row r="9" spans="1:10" x14ac:dyDescent="0.25">
      <c r="A9" s="124"/>
      <c r="B9" s="208"/>
      <c r="C9" s="129"/>
      <c r="D9" s="129"/>
      <c r="E9" s="129"/>
      <c r="F9" s="129" t="s">
        <v>4</v>
      </c>
      <c r="G9" s="129" t="s">
        <v>7</v>
      </c>
      <c r="H9" s="129"/>
      <c r="I9" s="129"/>
    </row>
    <row r="10" spans="1:10" x14ac:dyDescent="0.25">
      <c r="A10" s="124"/>
      <c r="B10" s="208"/>
      <c r="C10" s="129"/>
      <c r="D10" s="129">
        <v>2017</v>
      </c>
      <c r="E10" s="129"/>
      <c r="F10" s="129">
        <v>2018</v>
      </c>
      <c r="G10" s="129">
        <v>2018</v>
      </c>
      <c r="H10" s="129"/>
      <c r="I10" s="129">
        <v>2019</v>
      </c>
    </row>
    <row r="11" spans="1:10" x14ac:dyDescent="0.25">
      <c r="A11" s="131"/>
      <c r="B11" s="132">
        <v>1</v>
      </c>
      <c r="C11" s="214">
        <v>2</v>
      </c>
      <c r="D11" s="214">
        <v>3</v>
      </c>
      <c r="E11" s="214"/>
      <c r="F11" s="214">
        <v>4</v>
      </c>
      <c r="G11" s="214">
        <v>5</v>
      </c>
      <c r="H11" s="214">
        <v>6</v>
      </c>
      <c r="I11" s="214">
        <v>7</v>
      </c>
    </row>
    <row r="12" spans="1:10" x14ac:dyDescent="0.25">
      <c r="A12" s="394" t="s">
        <v>14</v>
      </c>
      <c r="B12" s="589"/>
      <c r="C12" s="213"/>
      <c r="D12" s="213"/>
      <c r="E12" s="213"/>
      <c r="F12" s="213"/>
      <c r="G12" s="213"/>
      <c r="H12" s="213"/>
      <c r="I12" s="213"/>
    </row>
    <row r="13" spans="1:10" x14ac:dyDescent="0.25">
      <c r="A13" s="544" t="s">
        <v>608</v>
      </c>
      <c r="B13" s="544"/>
      <c r="C13" s="129"/>
      <c r="D13" s="129"/>
      <c r="E13" s="129"/>
      <c r="F13" s="129"/>
      <c r="G13" s="129"/>
      <c r="H13" s="129"/>
      <c r="I13" s="129"/>
    </row>
    <row r="14" spans="1:10" x14ac:dyDescent="0.25">
      <c r="A14" s="775" t="s">
        <v>609</v>
      </c>
      <c r="B14" s="888"/>
      <c r="C14" s="168" t="s">
        <v>141</v>
      </c>
      <c r="D14" s="431">
        <v>374500</v>
      </c>
      <c r="E14" s="414">
        <v>400000</v>
      </c>
      <c r="F14" s="431">
        <v>116000</v>
      </c>
      <c r="G14" s="431">
        <f>H14-F14</f>
        <v>135000</v>
      </c>
      <c r="H14" s="431">
        <v>251000</v>
      </c>
      <c r="I14" s="414">
        <v>400000</v>
      </c>
    </row>
    <row r="15" spans="1:10" x14ac:dyDescent="0.25">
      <c r="A15" s="775" t="s">
        <v>610</v>
      </c>
      <c r="B15" s="888"/>
      <c r="C15" s="168" t="s">
        <v>141</v>
      </c>
      <c r="D15" s="431">
        <v>1000</v>
      </c>
      <c r="E15" s="414">
        <v>100000</v>
      </c>
      <c r="F15" s="431">
        <v>10000</v>
      </c>
      <c r="G15" s="431">
        <f>H15-F15</f>
        <v>32000</v>
      </c>
      <c r="H15" s="431">
        <v>42000</v>
      </c>
      <c r="I15" s="414">
        <v>100000</v>
      </c>
    </row>
    <row r="16" spans="1:10" s="248" customFormat="1" ht="15.75" thickBot="1" x14ac:dyDescent="0.3">
      <c r="A16" s="889"/>
      <c r="B16" s="889" t="s">
        <v>21</v>
      </c>
      <c r="C16" s="890"/>
      <c r="D16" s="891">
        <f>SUM(D14:D15)</f>
        <v>375500</v>
      </c>
      <c r="E16" s="891">
        <f>SUM(E14:E15)</f>
        <v>500000</v>
      </c>
      <c r="F16" s="891">
        <f t="shared" ref="F16:H16" si="0">SUM(F14:F15)</f>
        <v>126000</v>
      </c>
      <c r="G16" s="891">
        <f t="shared" si="0"/>
        <v>167000</v>
      </c>
      <c r="H16" s="891">
        <f t="shared" si="0"/>
        <v>293000</v>
      </c>
      <c r="I16" s="891">
        <f>SUM(I14:I15)</f>
        <v>500000</v>
      </c>
      <c r="J16" s="892"/>
    </row>
    <row r="17" spans="1:12" ht="15.75" thickTop="1" x14ac:dyDescent="0.25">
      <c r="A17" s="893" t="s">
        <v>611</v>
      </c>
      <c r="B17" s="894"/>
      <c r="C17" s="168" t="s">
        <v>171</v>
      </c>
      <c r="D17" s="431"/>
      <c r="E17" s="414"/>
      <c r="F17" s="431"/>
      <c r="G17" s="431"/>
      <c r="H17" s="431"/>
      <c r="I17" s="414"/>
    </row>
    <row r="18" spans="1:12" x14ac:dyDescent="0.25">
      <c r="A18" s="54"/>
      <c r="B18" s="173" t="s">
        <v>612</v>
      </c>
      <c r="C18" s="168" t="str">
        <f>[2]piwas!$C$32</f>
        <v>5-02-01-010</v>
      </c>
      <c r="D18" s="414"/>
      <c r="E18" s="414">
        <v>60000</v>
      </c>
      <c r="F18" s="414"/>
      <c r="G18" s="431">
        <f>H18-F18</f>
        <v>3180</v>
      </c>
      <c r="H18" s="431">
        <v>3180</v>
      </c>
      <c r="I18" s="414">
        <v>60000</v>
      </c>
    </row>
    <row r="19" spans="1:12" x14ac:dyDescent="0.25">
      <c r="A19" s="54"/>
      <c r="B19" s="173" t="s">
        <v>613</v>
      </c>
      <c r="C19" s="168" t="str">
        <f>[2]piwas!$C$33</f>
        <v>5-02-02-010</v>
      </c>
      <c r="D19" s="414"/>
      <c r="E19" s="414">
        <v>16500</v>
      </c>
      <c r="F19" s="414"/>
      <c r="G19" s="431">
        <f>H19-F19</f>
        <v>0</v>
      </c>
      <c r="H19" s="431">
        <v>0</v>
      </c>
      <c r="I19" s="414">
        <v>16500</v>
      </c>
    </row>
    <row r="20" spans="1:12" x14ac:dyDescent="0.25">
      <c r="A20" s="54"/>
      <c r="B20" s="173" t="s">
        <v>614</v>
      </c>
      <c r="C20" s="168" t="str">
        <f>[2]piwas!$C$34</f>
        <v>5-02-03-010</v>
      </c>
      <c r="D20" s="414"/>
      <c r="E20" s="414">
        <v>6500</v>
      </c>
      <c r="F20" s="414"/>
      <c r="G20" s="431">
        <f t="shared" ref="G20" si="1">H20-F20</f>
        <v>0</v>
      </c>
      <c r="H20" s="431">
        <v>0</v>
      </c>
      <c r="I20" s="414">
        <v>6500</v>
      </c>
    </row>
    <row r="21" spans="1:12" s="248" customFormat="1" ht="15.75" thickBot="1" x14ac:dyDescent="0.3">
      <c r="A21" s="889"/>
      <c r="B21" s="889" t="s">
        <v>21</v>
      </c>
      <c r="C21" s="890"/>
      <c r="D21" s="891">
        <f>SUM(D19:D20)</f>
        <v>0</v>
      </c>
      <c r="E21" s="891">
        <f>SUM(E18:E20)</f>
        <v>83000</v>
      </c>
      <c r="F21" s="891">
        <f t="shared" ref="F21:H21" si="2">SUM(F18:F20)</f>
        <v>0</v>
      </c>
      <c r="G21" s="891">
        <f t="shared" si="2"/>
        <v>3180</v>
      </c>
      <c r="H21" s="891">
        <f t="shared" si="2"/>
        <v>3180</v>
      </c>
      <c r="I21" s="891">
        <f>SUM(I18:I20)</f>
        <v>83000</v>
      </c>
      <c r="J21" s="892"/>
    </row>
    <row r="22" spans="1:12" ht="15.75" thickTop="1" x14ac:dyDescent="0.25">
      <c r="A22" s="54"/>
      <c r="B22" s="444" t="s">
        <v>615</v>
      </c>
      <c r="C22" s="163" t="s">
        <v>128</v>
      </c>
      <c r="D22" s="161"/>
      <c r="E22" s="112">
        <v>522720</v>
      </c>
      <c r="F22" s="161">
        <v>411935</v>
      </c>
      <c r="G22" s="431">
        <f>H22-F22</f>
        <v>208970</v>
      </c>
      <c r="H22" s="161">
        <v>620905</v>
      </c>
      <c r="I22" s="112">
        <v>522700</v>
      </c>
    </row>
    <row r="23" spans="1:12" x14ac:dyDescent="0.25">
      <c r="A23" s="54"/>
      <c r="B23" s="444" t="s">
        <v>616</v>
      </c>
      <c r="C23" s="163" t="s">
        <v>128</v>
      </c>
      <c r="D23" s="161"/>
      <c r="E23" s="112">
        <v>294720</v>
      </c>
      <c r="F23" s="161">
        <v>118650</v>
      </c>
      <c r="G23" s="431">
        <f>H23-F23</f>
        <v>172289.45</v>
      </c>
      <c r="H23" s="161">
        <v>290939.45</v>
      </c>
      <c r="I23" s="112">
        <v>294700</v>
      </c>
    </row>
    <row r="24" spans="1:12" ht="15.75" thickBot="1" x14ac:dyDescent="0.3">
      <c r="A24" s="889"/>
      <c r="B24" s="889" t="s">
        <v>21</v>
      </c>
      <c r="C24" s="890"/>
      <c r="D24" s="891">
        <f>SUM(D21:D23)</f>
        <v>0</v>
      </c>
      <c r="E24" s="891">
        <f>SUM(E22:E23)</f>
        <v>817440</v>
      </c>
      <c r="F24" s="891">
        <f t="shared" ref="F24:H24" si="3">SUM(F22:F23)</f>
        <v>530585</v>
      </c>
      <c r="G24" s="891">
        <f t="shared" si="3"/>
        <v>381259.45</v>
      </c>
      <c r="H24" s="891">
        <f t="shared" si="3"/>
        <v>911844.45</v>
      </c>
      <c r="I24" s="891">
        <f>SUM(I22:I23)</f>
        <v>817400</v>
      </c>
      <c r="J24" s="139"/>
    </row>
    <row r="25" spans="1:12" ht="16.5" thickTop="1" thickBot="1" x14ac:dyDescent="0.3">
      <c r="A25" s="895" t="s">
        <v>617</v>
      </c>
      <c r="B25" s="896"/>
      <c r="C25" s="897" t="s">
        <v>618</v>
      </c>
      <c r="D25" s="891"/>
      <c r="E25" s="891">
        <v>225000</v>
      </c>
      <c r="F25" s="898"/>
      <c r="G25" s="891"/>
      <c r="H25" s="891"/>
      <c r="I25" s="891">
        <v>225000</v>
      </c>
      <c r="J25" s="139"/>
      <c r="K25" s="441"/>
      <c r="L25" s="151"/>
    </row>
    <row r="26" spans="1:12" ht="15.75" thickTop="1" x14ac:dyDescent="0.25">
      <c r="A26" s="899" t="s">
        <v>619</v>
      </c>
      <c r="B26" s="443"/>
      <c r="C26" s="163"/>
      <c r="D26" s="162"/>
      <c r="E26" s="112"/>
      <c r="F26" s="162"/>
      <c r="G26" s="431"/>
      <c r="H26" s="166"/>
      <c r="I26" s="112"/>
    </row>
    <row r="27" spans="1:12" x14ac:dyDescent="0.25">
      <c r="A27" s="900"/>
      <c r="B27" s="433" t="s">
        <v>255</v>
      </c>
      <c r="C27" s="89" t="s">
        <v>96</v>
      </c>
      <c r="D27" s="162">
        <v>147090</v>
      </c>
      <c r="E27" s="112">
        <v>134640</v>
      </c>
      <c r="F27" s="162">
        <v>64730</v>
      </c>
      <c r="G27" s="431">
        <f t="shared" ref="G27:G30" si="4">H27-F27</f>
        <v>74890</v>
      </c>
      <c r="H27" s="166">
        <v>139620</v>
      </c>
      <c r="I27" s="112">
        <v>140000</v>
      </c>
    </row>
    <row r="28" spans="1:12" x14ac:dyDescent="0.25">
      <c r="A28" s="900"/>
      <c r="B28" s="433" t="s">
        <v>435</v>
      </c>
      <c r="C28" s="168" t="str">
        <f>[2]piwas!$C$32</f>
        <v>5-02-01-010</v>
      </c>
      <c r="D28" s="431">
        <v>18742</v>
      </c>
      <c r="E28" s="112">
        <v>58860</v>
      </c>
      <c r="F28" s="161">
        <v>14970</v>
      </c>
      <c r="G28" s="431">
        <f t="shared" si="4"/>
        <v>43026</v>
      </c>
      <c r="H28" s="161">
        <v>57996</v>
      </c>
      <c r="I28" s="112">
        <v>48500</v>
      </c>
    </row>
    <row r="29" spans="1:12" x14ac:dyDescent="0.25">
      <c r="A29" s="900"/>
      <c r="B29" s="433" t="s">
        <v>236</v>
      </c>
      <c r="C29" s="168" t="str">
        <f>[2]piwas!$C$34</f>
        <v>5-02-03-010</v>
      </c>
      <c r="D29" s="162">
        <v>14384.46</v>
      </c>
      <c r="E29" s="112">
        <v>15000</v>
      </c>
      <c r="F29" s="162">
        <v>10000</v>
      </c>
      <c r="G29" s="431">
        <f t="shared" si="4"/>
        <v>3978.5499999999993</v>
      </c>
      <c r="H29" s="166">
        <v>13978.55</v>
      </c>
      <c r="I29" s="112">
        <v>15000</v>
      </c>
    </row>
    <row r="30" spans="1:12" x14ac:dyDescent="0.25">
      <c r="A30" s="900"/>
      <c r="B30" s="433" t="s">
        <v>493</v>
      </c>
      <c r="C30" s="89" t="s">
        <v>93</v>
      </c>
      <c r="D30" s="162">
        <v>60000</v>
      </c>
      <c r="E30" s="112">
        <v>60000</v>
      </c>
      <c r="F30" s="162">
        <v>0</v>
      </c>
      <c r="G30" s="431">
        <f t="shared" si="4"/>
        <v>50488</v>
      </c>
      <c r="H30" s="166">
        <v>50488</v>
      </c>
      <c r="I30" s="112">
        <v>20000</v>
      </c>
    </row>
    <row r="31" spans="1:12" x14ac:dyDescent="0.25">
      <c r="A31" s="901"/>
      <c r="B31" s="902" t="s">
        <v>620</v>
      </c>
      <c r="C31" s="108"/>
      <c r="D31" s="903"/>
      <c r="E31" s="110"/>
      <c r="F31" s="903"/>
      <c r="G31" s="111"/>
      <c r="H31" s="904"/>
      <c r="I31" s="110">
        <v>45000</v>
      </c>
    </row>
    <row r="32" spans="1:12" ht="15.75" thickBot="1" x14ac:dyDescent="0.3">
      <c r="A32" s="905"/>
      <c r="B32" s="889" t="s">
        <v>21</v>
      </c>
      <c r="C32" s="890"/>
      <c r="D32" s="891">
        <f>SUM(D27:D30)</f>
        <v>240216.46</v>
      </c>
      <c r="E32" s="891">
        <f>SUM(E27:E31)</f>
        <v>268500</v>
      </c>
      <c r="F32" s="891">
        <f t="shared" ref="F32:H32" si="5">SUM(F27:F31)</f>
        <v>89700</v>
      </c>
      <c r="G32" s="891">
        <f t="shared" si="5"/>
        <v>172382.55</v>
      </c>
      <c r="H32" s="891">
        <f t="shared" si="5"/>
        <v>262082.55</v>
      </c>
      <c r="I32" s="891">
        <f>SUM(I27:I31)</f>
        <v>268500</v>
      </c>
      <c r="J32" s="37"/>
      <c r="K32" s="139"/>
    </row>
    <row r="33" spans="1:15" ht="15.75" thickTop="1" x14ac:dyDescent="0.25">
      <c r="A33" s="906" t="s">
        <v>621</v>
      </c>
      <c r="B33" s="906"/>
      <c r="C33" s="907"/>
      <c r="D33" s="908"/>
      <c r="E33" s="908"/>
      <c r="F33" s="908"/>
      <c r="G33" s="908"/>
      <c r="H33" s="908"/>
      <c r="I33" s="908"/>
    </row>
    <row r="34" spans="1:15" x14ac:dyDescent="0.25">
      <c r="A34" s="906"/>
      <c r="B34" s="909" t="s">
        <v>622</v>
      </c>
      <c r="C34" s="383" t="s">
        <v>140</v>
      </c>
      <c r="D34" s="910"/>
      <c r="E34" s="911">
        <v>100000</v>
      </c>
      <c r="F34" s="912">
        <v>59150</v>
      </c>
      <c r="G34" s="913">
        <f t="shared" ref="G34:G35" si="6">H34-F34</f>
        <v>40489</v>
      </c>
      <c r="H34" s="912">
        <v>99639</v>
      </c>
      <c r="I34" s="911">
        <v>100000</v>
      </c>
    </row>
    <row r="35" spans="1:15" x14ac:dyDescent="0.25">
      <c r="A35" s="906"/>
      <c r="B35" s="444" t="s">
        <v>623</v>
      </c>
      <c r="C35" s="163" t="s">
        <v>624</v>
      </c>
      <c r="D35" s="161"/>
      <c r="E35" s="112">
        <v>150000</v>
      </c>
      <c r="F35" s="161">
        <v>108250</v>
      </c>
      <c r="G35" s="431">
        <f t="shared" si="6"/>
        <v>27020</v>
      </c>
      <c r="H35" s="161">
        <v>135270</v>
      </c>
      <c r="I35" s="112">
        <v>150000</v>
      </c>
    </row>
    <row r="36" spans="1:15" s="248" customFormat="1" ht="15.75" thickBot="1" x14ac:dyDescent="0.3">
      <c r="A36" s="914"/>
      <c r="B36" s="889" t="s">
        <v>21</v>
      </c>
      <c r="C36" s="915"/>
      <c r="D36" s="916">
        <f>SUM(D34:D35)</f>
        <v>0</v>
      </c>
      <c r="E36" s="917">
        <f>SUM(E34:E35)</f>
        <v>250000</v>
      </c>
      <c r="F36" s="917">
        <f t="shared" ref="F36:H36" si="7">SUM(F34:F35)</f>
        <v>167400</v>
      </c>
      <c r="G36" s="917">
        <f t="shared" si="7"/>
        <v>67509</v>
      </c>
      <c r="H36" s="917">
        <f t="shared" si="7"/>
        <v>234909</v>
      </c>
      <c r="I36" s="917">
        <f>SUM(I34:I35)</f>
        <v>250000</v>
      </c>
      <c r="J36" s="892"/>
    </row>
    <row r="37" spans="1:15" ht="15.75" thickTop="1" x14ac:dyDescent="0.25">
      <c r="A37" s="918" t="s">
        <v>625</v>
      </c>
      <c r="B37" s="443"/>
      <c r="C37" s="163"/>
      <c r="D37" s="161"/>
      <c r="E37" s="112"/>
      <c r="F37" s="161"/>
      <c r="G37" s="431"/>
      <c r="H37" s="161"/>
      <c r="I37" s="112"/>
    </row>
    <row r="38" spans="1:15" x14ac:dyDescent="0.25">
      <c r="A38" s="54"/>
      <c r="B38" s="433" t="s">
        <v>626</v>
      </c>
      <c r="C38" s="163" t="s">
        <v>284</v>
      </c>
      <c r="D38" s="161">
        <v>32900</v>
      </c>
      <c r="E38" s="112">
        <v>25200</v>
      </c>
      <c r="F38" s="161">
        <v>6600</v>
      </c>
      <c r="G38" s="431">
        <f>H38-F38</f>
        <v>12420</v>
      </c>
      <c r="H38" s="161">
        <v>19020</v>
      </c>
      <c r="I38" s="112">
        <v>50400</v>
      </c>
    </row>
    <row r="39" spans="1:15" x14ac:dyDescent="0.25">
      <c r="A39" s="54"/>
      <c r="B39" s="433" t="s">
        <v>627</v>
      </c>
      <c r="C39" s="163"/>
      <c r="D39" s="161">
        <v>50000</v>
      </c>
      <c r="E39" s="112">
        <v>74800</v>
      </c>
      <c r="F39" s="161">
        <v>50000</v>
      </c>
      <c r="G39" s="431">
        <f t="shared" ref="G39:G40" si="8">H39-F39</f>
        <v>0</v>
      </c>
      <c r="H39" s="161">
        <v>50000</v>
      </c>
      <c r="I39" s="112">
        <v>70000</v>
      </c>
    </row>
    <row r="40" spans="1:15" x14ac:dyDescent="0.25">
      <c r="A40" s="54"/>
      <c r="B40" s="433" t="s">
        <v>435</v>
      </c>
      <c r="C40" s="168" t="str">
        <f>[2]piwas!$C$32</f>
        <v>5-02-01-010</v>
      </c>
      <c r="D40" s="161"/>
      <c r="E40" s="112"/>
      <c r="F40" s="161"/>
      <c r="G40" s="431">
        <f t="shared" si="8"/>
        <v>0</v>
      </c>
      <c r="H40" s="161"/>
      <c r="I40" s="112">
        <v>30000</v>
      </c>
    </row>
    <row r="41" spans="1:15" ht="15.75" thickBot="1" x14ac:dyDescent="0.3">
      <c r="A41" s="889"/>
      <c r="B41" s="889" t="s">
        <v>21</v>
      </c>
      <c r="C41" s="890"/>
      <c r="D41" s="891">
        <f>SUM(D37:D40)</f>
        <v>82900</v>
      </c>
      <c r="E41" s="891">
        <f>SUM(E37:E40)</f>
        <v>100000</v>
      </c>
      <c r="F41" s="891">
        <f t="shared" ref="F41:H41" si="9">SUM(F37:F40)</f>
        <v>56600</v>
      </c>
      <c r="G41" s="891">
        <f t="shared" si="9"/>
        <v>12420</v>
      </c>
      <c r="H41" s="891">
        <f t="shared" si="9"/>
        <v>69020</v>
      </c>
      <c r="I41" s="891">
        <f>SUM(I37:I40)</f>
        <v>150400</v>
      </c>
      <c r="J41" s="139"/>
    </row>
    <row r="42" spans="1:15" ht="15.75" thickTop="1" x14ac:dyDescent="0.25">
      <c r="A42" s="435"/>
      <c r="B42" s="172" t="s">
        <v>628</v>
      </c>
      <c r="C42" s="415"/>
      <c r="D42" s="414"/>
      <c r="E42" s="414"/>
      <c r="F42" s="414"/>
      <c r="G42" s="414"/>
      <c r="H42" s="414"/>
      <c r="I42" s="414">
        <v>50000</v>
      </c>
    </row>
    <row r="43" spans="1:15" x14ac:dyDescent="0.25">
      <c r="A43" s="906"/>
      <c r="B43" s="919" t="s">
        <v>629</v>
      </c>
      <c r="C43" s="415" t="str">
        <f>[2]piwas!$C$33</f>
        <v>5-02-02-010</v>
      </c>
      <c r="D43" s="920"/>
      <c r="E43" s="920"/>
      <c r="F43" s="920"/>
      <c r="G43" s="920"/>
      <c r="H43" s="920"/>
      <c r="I43" s="913">
        <v>297104.51</v>
      </c>
    </row>
    <row r="44" spans="1:15" x14ac:dyDescent="0.25">
      <c r="A44" s="906"/>
      <c r="B44" s="921" t="s">
        <v>630</v>
      </c>
      <c r="C44" s="415" t="s">
        <v>631</v>
      </c>
      <c r="D44" s="920"/>
      <c r="E44" s="920"/>
      <c r="F44" s="920"/>
      <c r="G44" s="920"/>
      <c r="H44" s="920"/>
      <c r="I44" s="920">
        <v>100000</v>
      </c>
    </row>
    <row r="45" spans="1:15" x14ac:dyDescent="0.25">
      <c r="A45" s="906"/>
      <c r="B45" s="921" t="s">
        <v>632</v>
      </c>
      <c r="C45" s="415" t="s">
        <v>128</v>
      </c>
      <c r="D45" s="920"/>
      <c r="E45" s="920"/>
      <c r="F45" s="920"/>
      <c r="G45" s="920"/>
      <c r="H45" s="920"/>
      <c r="I45" s="920">
        <v>355200</v>
      </c>
      <c r="J45" s="1056"/>
      <c r="K45" s="45"/>
      <c r="L45" s="45"/>
      <c r="M45" s="45"/>
      <c r="N45" s="45"/>
      <c r="O45" s="151"/>
    </row>
    <row r="46" spans="1:15" x14ac:dyDescent="0.25">
      <c r="A46" s="906"/>
      <c r="B46" s="568" t="s">
        <v>602</v>
      </c>
      <c r="C46" s="89" t="s">
        <v>141</v>
      </c>
      <c r="D46" s="920"/>
      <c r="E46" s="920"/>
      <c r="F46" s="920"/>
      <c r="G46" s="920"/>
      <c r="H46" s="922"/>
      <c r="I46" s="923">
        <f>215598.82-92800-7200</f>
        <v>115598.82</v>
      </c>
      <c r="J46" s="139"/>
    </row>
    <row r="47" spans="1:15" s="248" customFormat="1" ht="15.75" thickBot="1" x14ac:dyDescent="0.3">
      <c r="A47" s="416"/>
      <c r="B47" s="416" t="s">
        <v>21</v>
      </c>
      <c r="C47" s="924"/>
      <c r="D47" s="925">
        <f>SUM(D42:D46)</f>
        <v>0</v>
      </c>
      <c r="E47" s="925">
        <f t="shared" ref="E47:I47" si="10">SUM(E42:E46)</f>
        <v>0</v>
      </c>
      <c r="F47" s="925">
        <f t="shared" si="10"/>
        <v>0</v>
      </c>
      <c r="G47" s="925">
        <f t="shared" si="10"/>
        <v>0</v>
      </c>
      <c r="H47" s="925">
        <f t="shared" si="10"/>
        <v>0</v>
      </c>
      <c r="I47" s="925">
        <f t="shared" si="10"/>
        <v>917903.33000000007</v>
      </c>
      <c r="J47" s="892"/>
    </row>
    <row r="48" spans="1:15" ht="16.5" thickTop="1" thickBot="1" x14ac:dyDescent="0.3">
      <c r="A48" s="150"/>
      <c r="B48" s="151" t="s">
        <v>633</v>
      </c>
      <c r="C48" s="417"/>
      <c r="D48" s="926"/>
      <c r="E48" s="926"/>
      <c r="F48" s="926"/>
      <c r="G48" s="926"/>
      <c r="H48" s="926"/>
      <c r="I48" s="926">
        <v>100000</v>
      </c>
    </row>
    <row r="49" spans="1:11" s="248" customFormat="1" ht="16.5" thickTop="1" thickBot="1" x14ac:dyDescent="0.3">
      <c r="A49" s="927"/>
      <c r="B49" s="928" t="s">
        <v>634</v>
      </c>
      <c r="C49" s="929"/>
      <c r="D49" s="930">
        <f>SUM(D48)</f>
        <v>0</v>
      </c>
      <c r="E49" s="931"/>
      <c r="F49" s="930">
        <f t="shared" ref="F49:I49" si="11">SUM(F48)</f>
        <v>0</v>
      </c>
      <c r="G49" s="930">
        <f t="shared" si="11"/>
        <v>0</v>
      </c>
      <c r="H49" s="930">
        <f t="shared" si="11"/>
        <v>0</v>
      </c>
      <c r="I49" s="930">
        <f t="shared" si="11"/>
        <v>100000</v>
      </c>
      <c r="J49" s="892"/>
      <c r="K49" s="932"/>
    </row>
    <row r="50" spans="1:11" s="495" customFormat="1" ht="14.25" thickTop="1" thickBot="1" x14ac:dyDescent="0.25">
      <c r="A50" s="933"/>
      <c r="B50" s="934" t="s">
        <v>635</v>
      </c>
      <c r="C50" s="935"/>
      <c r="D50" s="936">
        <f>D16+D21+D24+D25+D32+D36+D41+D47</f>
        <v>698616.46</v>
      </c>
      <c r="E50" s="936" t="e">
        <f>E16+E21+E24+E25+E32+E36+E41+#REF!</f>
        <v>#REF!</v>
      </c>
      <c r="F50" s="936">
        <f t="shared" ref="F50:I50" si="12">F16+F21+F24+F25+F32+F36+F41+F47</f>
        <v>970285</v>
      </c>
      <c r="G50" s="936">
        <f t="shared" si="12"/>
        <v>803751</v>
      </c>
      <c r="H50" s="936">
        <f t="shared" si="12"/>
        <v>1774036</v>
      </c>
      <c r="I50" s="936">
        <f t="shared" si="12"/>
        <v>3212203.33</v>
      </c>
      <c r="J50" s="494"/>
      <c r="K50" s="494"/>
    </row>
    <row r="51" spans="1:11" ht="16.5" thickTop="1" thickBot="1" x14ac:dyDescent="0.3">
      <c r="A51" s="937"/>
      <c r="B51" s="938" t="s">
        <v>636</v>
      </c>
      <c r="C51" s="939"/>
      <c r="D51" s="940">
        <f t="shared" ref="D51:I51" si="13">D50+D49</f>
        <v>698616.46</v>
      </c>
      <c r="E51" s="940" t="e">
        <f t="shared" si="13"/>
        <v>#REF!</v>
      </c>
      <c r="F51" s="940">
        <f t="shared" si="13"/>
        <v>970285</v>
      </c>
      <c r="G51" s="940">
        <f t="shared" si="13"/>
        <v>803751</v>
      </c>
      <c r="H51" s="940">
        <f t="shared" si="13"/>
        <v>1774036</v>
      </c>
      <c r="I51" s="940">
        <f t="shared" si="13"/>
        <v>3312203.33</v>
      </c>
      <c r="J51" s="37"/>
      <c r="K51" s="139"/>
    </row>
    <row r="52" spans="1:11" s="114" customFormat="1" ht="16.5" thickTop="1" x14ac:dyDescent="0.25">
      <c r="B52" s="114" t="s">
        <v>22</v>
      </c>
      <c r="C52" s="114" t="s">
        <v>23</v>
      </c>
      <c r="G52" s="114" t="s">
        <v>24</v>
      </c>
      <c r="J52" s="363"/>
    </row>
    <row r="53" spans="1:11" s="114" customFormat="1" ht="33.75" customHeight="1" x14ac:dyDescent="0.25">
      <c r="K53" s="363"/>
    </row>
    <row r="54" spans="1:11" s="114" customFormat="1" ht="15.75" x14ac:dyDescent="0.25">
      <c r="B54" s="205" t="s">
        <v>637</v>
      </c>
      <c r="C54" s="1069" t="s">
        <v>51</v>
      </c>
      <c r="D54" s="1069"/>
      <c r="E54" s="1069"/>
      <c r="F54" s="1069"/>
      <c r="G54" s="1069" t="s">
        <v>638</v>
      </c>
      <c r="H54" s="1069"/>
      <c r="I54" s="1069"/>
      <c r="K54" s="363"/>
    </row>
    <row r="55" spans="1:11" s="114" customFormat="1" ht="15.75" x14ac:dyDescent="0.25">
      <c r="B55" s="365" t="s">
        <v>639</v>
      </c>
      <c r="C55" s="1207" t="s">
        <v>64</v>
      </c>
      <c r="D55" s="1207"/>
      <c r="E55" s="1207"/>
      <c r="F55" s="1207"/>
      <c r="G55" s="1207" t="s">
        <v>640</v>
      </c>
      <c r="H55" s="1207"/>
      <c r="I55" s="1207"/>
    </row>
    <row r="56" spans="1:11" s="114" customFormat="1" ht="15.75" x14ac:dyDescent="0.25"/>
    <row r="57" spans="1:11" s="114" customFormat="1" ht="15.75" x14ac:dyDescent="0.25">
      <c r="I57" s="366"/>
    </row>
    <row r="58" spans="1:11" ht="21" x14ac:dyDescent="0.35">
      <c r="B58" s="119"/>
      <c r="C58" s="119"/>
      <c r="D58" s="119"/>
      <c r="E58" s="119"/>
      <c r="F58" s="119"/>
      <c r="G58" s="119"/>
      <c r="H58" s="119"/>
      <c r="I58" s="941"/>
    </row>
    <row r="59" spans="1:11" ht="21" x14ac:dyDescent="0.35">
      <c r="B59" s="119"/>
      <c r="C59" s="119"/>
      <c r="D59" s="119"/>
      <c r="E59" s="119"/>
      <c r="F59" s="119"/>
      <c r="G59" s="119"/>
      <c r="H59" s="119"/>
      <c r="I59" s="942"/>
    </row>
    <row r="60" spans="1:11" ht="21" x14ac:dyDescent="0.35">
      <c r="B60" s="119"/>
      <c r="C60" s="119"/>
      <c r="D60" s="119"/>
      <c r="E60" s="119"/>
      <c r="F60" s="119"/>
      <c r="G60" s="119"/>
      <c r="H60" s="119"/>
      <c r="I60" s="119"/>
    </row>
    <row r="61" spans="1:11" ht="21" x14ac:dyDescent="0.35">
      <c r="B61" s="119"/>
      <c r="C61" s="119"/>
      <c r="D61" s="119"/>
      <c r="E61" s="119"/>
      <c r="F61" s="119"/>
      <c r="G61" s="119"/>
      <c r="H61" s="119"/>
      <c r="I61" s="119"/>
    </row>
    <row r="62" spans="1:11" ht="21" x14ac:dyDescent="0.35">
      <c r="B62" s="119"/>
    </row>
  </sheetData>
  <sheetProtection algorithmName="SHA-512" hashValue="n7/9sRK+Bew/aEg5B6IEHPccdlg8TYxEXv6u83oKc7RK+/YSnZW0L3dcj/8BE5QnGZhkJ7t5BnHJDZGHVcGSVA==" saltValue="ZpWw2foSuGEOjbw6twJ93g==" spinCount="100000" sheet="1" objects="1" scenarios="1" selectLockedCells="1" selectUnlockedCells="1"/>
  <mergeCells count="10">
    <mergeCell ref="C54:F54"/>
    <mergeCell ref="G54:I54"/>
    <mergeCell ref="C55:F55"/>
    <mergeCell ref="G55:I55"/>
    <mergeCell ref="A3:I3"/>
    <mergeCell ref="A4:I4"/>
    <mergeCell ref="A5:I5"/>
    <mergeCell ref="A7:B8"/>
    <mergeCell ref="C7:C8"/>
    <mergeCell ref="F7:H7"/>
  </mergeCells>
  <conditionalFormatting sqref="K25 B29 F29 B25:D27 I25:I26 F25:F27 D29">
    <cfRule type="expression" dxfId="64" priority="42">
      <formula>ISNUMBER(SEARCH($B$2,#REF!))</formula>
    </cfRule>
  </conditionalFormatting>
  <conditionalFormatting sqref="B28 F28 D28">
    <cfRule type="expression" dxfId="63" priority="41">
      <formula>ISNUMBER(SEARCH($B$2,#REF!))</formula>
    </cfRule>
  </conditionalFormatting>
  <conditionalFormatting sqref="G17:I17">
    <cfRule type="expression" dxfId="62" priority="40">
      <formula>ISNUMBER(SEARCH($B$2,G8))</formula>
    </cfRule>
  </conditionalFormatting>
  <conditionalFormatting sqref="G18 C32:I33">
    <cfRule type="expression" dxfId="61" priority="39">
      <formula>ISNUMBER(SEARCH($B$2,C11))</formula>
    </cfRule>
  </conditionalFormatting>
  <conditionalFormatting sqref="B19:D19 B14 H19 F19 C13:I16">
    <cfRule type="expression" dxfId="60" priority="38">
      <formula>ISNUMBER(SEARCH($B$2,B5))</formula>
    </cfRule>
  </conditionalFormatting>
  <conditionalFormatting sqref="H29 H25:H27">
    <cfRule type="expression" dxfId="59" priority="37">
      <formula>ISNUMBER(SEARCH($B$2,#REF!))</formula>
    </cfRule>
  </conditionalFormatting>
  <conditionalFormatting sqref="H28">
    <cfRule type="expression" dxfId="58" priority="36">
      <formula>ISNUMBER(SEARCH($B$2,#REF!))</formula>
    </cfRule>
  </conditionalFormatting>
  <conditionalFormatting sqref="H30:H31 B31:F31 B30 D30:F30">
    <cfRule type="expression" dxfId="57" priority="35">
      <formula>ISNUMBER(SEARCH($B$2,#REF!))</formula>
    </cfRule>
  </conditionalFormatting>
  <conditionalFormatting sqref="B49:E49">
    <cfRule type="expression" dxfId="56" priority="43">
      <formula>ISNUMBER(SEARCH($B$2,#REF!))</formula>
    </cfRule>
  </conditionalFormatting>
  <conditionalFormatting sqref="B39:D39 H39:I40 F39:F40 B40 D40">
    <cfRule type="expression" dxfId="55" priority="44">
      <formula>ISNUMBER(SEARCH($B$2,#REF!))</formula>
    </cfRule>
  </conditionalFormatting>
  <conditionalFormatting sqref="C38:D38 H38:I38 F38">
    <cfRule type="expression" dxfId="54" priority="45">
      <formula>ISNUMBER(SEARCH($B$2,#REF!))</formula>
    </cfRule>
  </conditionalFormatting>
  <conditionalFormatting sqref="H22:I23 C36:I36 B22:F23 B50:I50">
    <cfRule type="expression" dxfId="53" priority="46">
      <formula>ISNUMBER(SEARCH($B$2,#REF!))</formula>
    </cfRule>
  </conditionalFormatting>
  <conditionalFormatting sqref="B20:D20 H20 F20">
    <cfRule type="expression" dxfId="52" priority="47">
      <formula>ISNUMBER(SEARCH($B$2,#REF!))</formula>
    </cfRule>
  </conditionalFormatting>
  <conditionalFormatting sqref="E29 E25:E27">
    <cfRule type="expression" dxfId="51" priority="31">
      <formula>ISNUMBER(SEARCH($B$2,#REF!))</formula>
    </cfRule>
  </conditionalFormatting>
  <conditionalFormatting sqref="E28">
    <cfRule type="expression" dxfId="50" priority="30">
      <formula>ISNUMBER(SEARCH($B$2,#REF!))</formula>
    </cfRule>
  </conditionalFormatting>
  <conditionalFormatting sqref="H18 B18:F18">
    <cfRule type="expression" dxfId="49" priority="29">
      <formula>ISNUMBER(SEARCH($B$2,B13))</formula>
    </cfRule>
  </conditionalFormatting>
  <conditionalFormatting sqref="E19">
    <cfRule type="expression" dxfId="48" priority="28">
      <formula>ISNUMBER(SEARCH($B$2,E11))</formula>
    </cfRule>
  </conditionalFormatting>
  <conditionalFormatting sqref="E39:E40">
    <cfRule type="expression" dxfId="47" priority="32">
      <formula>ISNUMBER(SEARCH($B$2,#REF!))</formula>
    </cfRule>
  </conditionalFormatting>
  <conditionalFormatting sqref="E38">
    <cfRule type="expression" dxfId="46" priority="33">
      <formula>ISNUMBER(SEARCH($B$2,#REF!))</formula>
    </cfRule>
  </conditionalFormatting>
  <conditionalFormatting sqref="E20">
    <cfRule type="expression" dxfId="45" priority="34">
      <formula>ISNUMBER(SEARCH($B$2,#REF!))</formula>
    </cfRule>
  </conditionalFormatting>
  <conditionalFormatting sqref="G26">
    <cfRule type="expression" dxfId="44" priority="48">
      <formula>ISNUMBER(SEARCH($B$2,G25))</formula>
    </cfRule>
  </conditionalFormatting>
  <conditionalFormatting sqref="A15:B16 B13">
    <cfRule type="expression" dxfId="43" priority="49">
      <formula>ISNUMBER(SEARCH($B$2,XFD5))</formula>
    </cfRule>
  </conditionalFormatting>
  <conditionalFormatting sqref="A14">
    <cfRule type="expression" dxfId="42" priority="27">
      <formula>ISNUMBER(SEARCH($B$2,A6))</formula>
    </cfRule>
  </conditionalFormatting>
  <conditionalFormatting sqref="A17:F17">
    <cfRule type="expression" dxfId="41" priority="26">
      <formula>ISNUMBER(SEARCH($B$2,A8))</formula>
    </cfRule>
  </conditionalFormatting>
  <conditionalFormatting sqref="A25">
    <cfRule type="expression" dxfId="40" priority="25">
      <formula>ISNUMBER(SEARCH($B$2,#REF!))</formula>
    </cfRule>
  </conditionalFormatting>
  <conditionalFormatting sqref="C21:I21">
    <cfRule type="expression" dxfId="39" priority="23">
      <formula>ISNUMBER(SEARCH($B$2,C14))</formula>
    </cfRule>
  </conditionalFormatting>
  <conditionalFormatting sqref="B21 B32:B33">
    <cfRule type="expression" dxfId="38" priority="24">
      <formula>ISNUMBER(SEARCH($B$2,A14))</formula>
    </cfRule>
  </conditionalFormatting>
  <conditionalFormatting sqref="A26">
    <cfRule type="expression" dxfId="37" priority="22">
      <formula>ISNUMBER(SEARCH($B$2,#REF!))</formula>
    </cfRule>
  </conditionalFormatting>
  <conditionalFormatting sqref="G25">
    <cfRule type="expression" dxfId="36" priority="50">
      <formula>ISNUMBER(SEARCH($B$2,G13))</formula>
    </cfRule>
  </conditionalFormatting>
  <conditionalFormatting sqref="G29:G31 G19:G20">
    <cfRule type="expression" dxfId="35" priority="21">
      <formula>ISNUMBER(SEARCH($B$2,G9))</formula>
    </cfRule>
  </conditionalFormatting>
  <conditionalFormatting sqref="I18">
    <cfRule type="expression" dxfId="34" priority="20">
      <formula>ISNUMBER(SEARCH($B$2,I13))</formula>
    </cfRule>
  </conditionalFormatting>
  <conditionalFormatting sqref="I19">
    <cfRule type="expression" dxfId="33" priority="18">
      <formula>ISNUMBER(SEARCH($B$2,I11))</formula>
    </cfRule>
  </conditionalFormatting>
  <conditionalFormatting sqref="I20">
    <cfRule type="expression" dxfId="32" priority="19">
      <formula>ISNUMBER(SEARCH($B$2,#REF!))</formula>
    </cfRule>
  </conditionalFormatting>
  <conditionalFormatting sqref="I30:I31">
    <cfRule type="expression" dxfId="31" priority="17">
      <formula>ISNUMBER(SEARCH($B$2,#REF!))</formula>
    </cfRule>
  </conditionalFormatting>
  <conditionalFormatting sqref="I29 I27">
    <cfRule type="expression" dxfId="30" priority="16">
      <formula>ISNUMBER(SEARCH($B$2,#REF!))</formula>
    </cfRule>
  </conditionalFormatting>
  <conditionalFormatting sqref="I28">
    <cfRule type="expression" dxfId="29" priority="15">
      <formula>ISNUMBER(SEARCH($B$2,#REF!))</formula>
    </cfRule>
  </conditionalFormatting>
  <conditionalFormatting sqref="A37:F37 H37:I37">
    <cfRule type="expression" dxfId="28" priority="51">
      <formula>ISNUMBER(SEARCH($B$2,#REF!))</formula>
    </cfRule>
  </conditionalFormatting>
  <conditionalFormatting sqref="G22:G23">
    <cfRule type="expression" dxfId="27" priority="52">
      <formula>ISNUMBER(SEARCH($B$2,G26))</formula>
    </cfRule>
  </conditionalFormatting>
  <conditionalFormatting sqref="G39:G40">
    <cfRule type="expression" dxfId="26" priority="53">
      <formula>ISNUMBER(SEARCH($B$2,G22))</formula>
    </cfRule>
  </conditionalFormatting>
  <conditionalFormatting sqref="C24:I24">
    <cfRule type="expression" dxfId="25" priority="13">
      <formula>ISNUMBER(SEARCH($B$2,C17))</formula>
    </cfRule>
  </conditionalFormatting>
  <conditionalFormatting sqref="B24">
    <cfRule type="expression" dxfId="24" priority="14">
      <formula>ISNUMBER(SEARCH($B$2,A17))</formula>
    </cfRule>
  </conditionalFormatting>
  <conditionalFormatting sqref="G27:G28">
    <cfRule type="expression" dxfId="23" priority="54">
      <formula>ISNUMBER(SEARCH($B$2,G16))</formula>
    </cfRule>
  </conditionalFormatting>
  <conditionalFormatting sqref="G38">
    <cfRule type="expression" dxfId="22" priority="55">
      <formula>ISNUMBER(SEARCH($B$2,G36))</formula>
    </cfRule>
  </conditionalFormatting>
  <conditionalFormatting sqref="H34:I34 B34:F34">
    <cfRule type="expression" dxfId="21" priority="12">
      <formula>ISNUMBER(SEARCH($B$2,#REF!))</formula>
    </cfRule>
  </conditionalFormatting>
  <conditionalFormatting sqref="G34">
    <cfRule type="expression" dxfId="20" priority="11">
      <formula>ISNUMBER(SEARCH($B$2,G21))</formula>
    </cfRule>
  </conditionalFormatting>
  <conditionalFormatting sqref="B35:F35 H35:I35">
    <cfRule type="expression" dxfId="19" priority="10">
      <formula>ISNUMBER(SEARCH($B$2,#REF!))</formula>
    </cfRule>
  </conditionalFormatting>
  <conditionalFormatting sqref="G35">
    <cfRule type="expression" dxfId="18" priority="9">
      <formula>ISNUMBER(SEARCH($B$2,G19))</formula>
    </cfRule>
  </conditionalFormatting>
  <conditionalFormatting sqref="G37 C41:I41">
    <cfRule type="expression" dxfId="17" priority="56">
      <formula>ISNUMBER(SEARCH($B$2,#REF!))</formula>
    </cfRule>
  </conditionalFormatting>
  <conditionalFormatting sqref="B38">
    <cfRule type="expression" dxfId="16" priority="57">
      <formula>ISNUMBER(SEARCH($B$2,#REF!))</formula>
    </cfRule>
  </conditionalFormatting>
  <conditionalFormatting sqref="B41:B48">
    <cfRule type="expression" dxfId="15" priority="58">
      <formula>ISNUMBER(SEARCH($B$2,#REF!))</formula>
    </cfRule>
  </conditionalFormatting>
  <conditionalFormatting sqref="B36">
    <cfRule type="expression" dxfId="14" priority="8">
      <formula>ISNUMBER(SEARCH($B$2,A29))</formula>
    </cfRule>
  </conditionalFormatting>
  <conditionalFormatting sqref="I43">
    <cfRule type="expression" dxfId="13" priority="7">
      <formula>ISNUMBER(SEARCH($B$2,I35))</formula>
    </cfRule>
  </conditionalFormatting>
  <conditionalFormatting sqref="C43:H43">
    <cfRule type="expression" dxfId="12" priority="59">
      <formula>ISNUMBER(SEARCH($B$2,C41))</formula>
    </cfRule>
  </conditionalFormatting>
  <conditionalFormatting sqref="D42:I42">
    <cfRule type="expression" dxfId="11" priority="60">
      <formula>ISNUMBER(SEARCH($B$2,D38))</formula>
    </cfRule>
  </conditionalFormatting>
  <conditionalFormatting sqref="C44:I44">
    <cfRule type="expression" dxfId="10" priority="61">
      <formula>ISNUMBER(SEARCH($B$2,#REF!))</formula>
    </cfRule>
  </conditionalFormatting>
  <conditionalFormatting sqref="D46:I47">
    <cfRule type="expression" dxfId="9" priority="62">
      <formula>ISNUMBER(SEARCH($B$2,#REF!))</formula>
    </cfRule>
  </conditionalFormatting>
  <conditionalFormatting sqref="C45:I45">
    <cfRule type="expression" dxfId="8" priority="63">
      <formula>ISNUMBER(SEARCH($B$2,C43))</formula>
    </cfRule>
  </conditionalFormatting>
  <conditionalFormatting sqref="C28">
    <cfRule type="expression" dxfId="7" priority="6">
      <formula>ISNUMBER(SEARCH($B$2,C23))</formula>
    </cfRule>
  </conditionalFormatting>
  <conditionalFormatting sqref="C29">
    <cfRule type="expression" dxfId="6" priority="5">
      <formula>ISNUMBER(SEARCH($B$2,#REF!))</formula>
    </cfRule>
  </conditionalFormatting>
  <conditionalFormatting sqref="C40">
    <cfRule type="expression" dxfId="5" priority="4">
      <formula>ISNUMBER(SEARCH($B$2,C35))</formula>
    </cfRule>
  </conditionalFormatting>
  <conditionalFormatting sqref="C42">
    <cfRule type="expression" dxfId="4" priority="3">
      <formula>ISNUMBER(SEARCH($B$2,C40))</formula>
    </cfRule>
  </conditionalFormatting>
  <conditionalFormatting sqref="A13">
    <cfRule type="expression" dxfId="3" priority="64">
      <formula>ISNUMBER(SEARCH($B$2,#REF!))</formula>
    </cfRule>
  </conditionalFormatting>
  <conditionalFormatting sqref="C48">
    <cfRule type="expression" dxfId="2" priority="2">
      <formula>ISNUMBER(SEARCH($B$2,#REF!))</formula>
    </cfRule>
  </conditionalFormatting>
  <conditionalFormatting sqref="D48:I48">
    <cfRule type="expression" dxfId="1" priority="65">
      <formula>ISNUMBER(SEARCH($B$2,D42))</formula>
    </cfRule>
  </conditionalFormatting>
  <conditionalFormatting sqref="F49:I49">
    <cfRule type="expression" dxfId="0" priority="1">
      <formula>ISNUMBER(SEARCH($B$2,#REF!))</formula>
    </cfRule>
  </conditionalFormatting>
  <printOptions horizontalCentered="1"/>
  <pageMargins left="0.95" right="0.2" top="0.28000000000000003" bottom="0" header="0" footer="0"/>
  <pageSetup scale="7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R88"/>
  <sheetViews>
    <sheetView topLeftCell="A64" zoomScale="110" zoomScaleNormal="110" workbookViewId="0">
      <selection activeCell="F85" sqref="F85"/>
    </sheetView>
  </sheetViews>
  <sheetFormatPr defaultRowHeight="15" x14ac:dyDescent="0.25"/>
  <cols>
    <col min="1" max="1" width="3" style="36" customWidth="1"/>
    <col min="2" max="2" width="48.42578125" style="36" customWidth="1"/>
    <col min="3" max="4" width="13.42578125" style="36" customWidth="1"/>
    <col min="5" max="5" width="13.42578125" style="36" hidden="1" customWidth="1"/>
    <col min="6" max="6" width="13.28515625" style="36" customWidth="1"/>
    <col min="7" max="9" width="13.42578125" style="36" customWidth="1"/>
    <col min="10" max="10" width="17.85546875" style="36" customWidth="1"/>
    <col min="11" max="11" width="14.28515625" style="36" customWidth="1"/>
    <col min="12" max="16384" width="9.140625" style="36"/>
  </cols>
  <sheetData>
    <row r="1" spans="1:10" x14ac:dyDescent="0.25">
      <c r="A1" s="36" t="s">
        <v>9</v>
      </c>
      <c r="I1" s="159" t="s">
        <v>27</v>
      </c>
    </row>
    <row r="3" spans="1:10" s="114" customFormat="1" ht="15" customHeight="1" x14ac:dyDescent="0.25">
      <c r="B3" s="1069" t="s">
        <v>10</v>
      </c>
      <c r="C3" s="1069"/>
      <c r="D3" s="1069"/>
      <c r="E3" s="1069"/>
      <c r="F3" s="1069"/>
      <c r="G3" s="1069"/>
      <c r="H3" s="1069"/>
      <c r="I3" s="1069"/>
    </row>
    <row r="4" spans="1:10" s="114" customFormat="1" ht="15.75" x14ac:dyDescent="0.25">
      <c r="B4" s="1069" t="s">
        <v>47</v>
      </c>
      <c r="C4" s="1069"/>
      <c r="D4" s="1069"/>
      <c r="E4" s="1069"/>
      <c r="F4" s="1069"/>
      <c r="G4" s="1069"/>
      <c r="H4" s="1069"/>
      <c r="I4" s="1069"/>
    </row>
    <row r="5" spans="1:10" s="114" customFormat="1" ht="15.75" customHeight="1" x14ac:dyDescent="0.25">
      <c r="B5" s="116"/>
    </row>
    <row r="6" spans="1:10" s="114" customFormat="1" ht="15" customHeight="1" x14ac:dyDescent="0.25">
      <c r="A6" s="116" t="s">
        <v>172</v>
      </c>
      <c r="B6" s="116"/>
    </row>
    <row r="7" spans="1:10" s="114" customFormat="1" ht="15.75" x14ac:dyDescent="0.25">
      <c r="A7" s="114" t="s">
        <v>170</v>
      </c>
    </row>
    <row r="8" spans="1:10" s="114" customFormat="1" ht="15.75" x14ac:dyDescent="0.25">
      <c r="A8" s="114" t="s">
        <v>144</v>
      </c>
    </row>
    <row r="9" spans="1:10" ht="9" customHeight="1" x14ac:dyDescent="0.25"/>
    <row r="10" spans="1:10" x14ac:dyDescent="0.25">
      <c r="A10" s="122"/>
      <c r="B10" s="1076" t="s">
        <v>0</v>
      </c>
      <c r="C10" s="1088" t="s">
        <v>1</v>
      </c>
      <c r="D10" s="421" t="s">
        <v>2</v>
      </c>
      <c r="E10" s="1091" t="s">
        <v>105</v>
      </c>
      <c r="F10" s="1090" t="s">
        <v>8</v>
      </c>
      <c r="G10" s="1090"/>
      <c r="H10" s="1090"/>
      <c r="I10" s="421" t="s">
        <v>3</v>
      </c>
    </row>
    <row r="11" spans="1:10" ht="45" x14ac:dyDescent="0.25">
      <c r="A11" s="124"/>
      <c r="B11" s="1087"/>
      <c r="C11" s="1089"/>
      <c r="D11" s="422" t="s">
        <v>4</v>
      </c>
      <c r="E11" s="1092"/>
      <c r="F11" s="424" t="s">
        <v>28</v>
      </c>
      <c r="G11" s="424" t="s">
        <v>30</v>
      </c>
      <c r="H11" s="421" t="s">
        <v>5</v>
      </c>
      <c r="I11" s="422" t="s">
        <v>6</v>
      </c>
    </row>
    <row r="12" spans="1:10" x14ac:dyDescent="0.25">
      <c r="A12" s="124"/>
      <c r="B12" s="425"/>
      <c r="C12" s="422"/>
      <c r="D12" s="422">
        <v>2017</v>
      </c>
      <c r="E12" s="1092"/>
      <c r="F12" s="422" t="s">
        <v>4</v>
      </c>
      <c r="G12" s="422" t="s">
        <v>7</v>
      </c>
      <c r="H12" s="422"/>
      <c r="I12" s="422"/>
    </row>
    <row r="13" spans="1:10" x14ac:dyDescent="0.25">
      <c r="A13" s="124"/>
      <c r="B13" s="425"/>
      <c r="C13" s="422"/>
      <c r="D13" s="422"/>
      <c r="E13" s="1092"/>
      <c r="F13" s="422">
        <v>2018</v>
      </c>
      <c r="G13" s="422">
        <v>2018</v>
      </c>
      <c r="H13" s="422"/>
      <c r="I13" s="422">
        <v>2019</v>
      </c>
    </row>
    <row r="14" spans="1:10" x14ac:dyDescent="0.25">
      <c r="A14" s="131"/>
      <c r="B14" s="426">
        <v>1</v>
      </c>
      <c r="C14" s="427">
        <v>2</v>
      </c>
      <c r="D14" s="427">
        <v>3</v>
      </c>
      <c r="E14" s="1093"/>
      <c r="F14" s="427">
        <v>4</v>
      </c>
      <c r="G14" s="427">
        <v>5</v>
      </c>
      <c r="H14" s="427">
        <v>6</v>
      </c>
      <c r="I14" s="427">
        <v>7</v>
      </c>
    </row>
    <row r="15" spans="1:10" x14ac:dyDescent="0.25">
      <c r="A15" s="428" t="s">
        <v>14</v>
      </c>
      <c r="B15" s="429"/>
      <c r="C15" s="430"/>
      <c r="D15" s="430"/>
      <c r="E15" s="430"/>
      <c r="F15" s="430"/>
      <c r="G15" s="430"/>
      <c r="H15" s="430"/>
      <c r="I15" s="430"/>
    </row>
    <row r="16" spans="1:10" x14ac:dyDescent="0.25">
      <c r="A16" s="54"/>
      <c r="B16" s="167" t="s">
        <v>173</v>
      </c>
      <c r="C16" s="97" t="s">
        <v>96</v>
      </c>
      <c r="D16" s="431">
        <v>47800</v>
      </c>
      <c r="E16" s="414">
        <v>65000</v>
      </c>
      <c r="F16" s="431">
        <v>19130</v>
      </c>
      <c r="G16" s="431">
        <f>H16-F16</f>
        <v>27060</v>
      </c>
      <c r="H16" s="431">
        <v>46190</v>
      </c>
      <c r="I16" s="414">
        <v>50000</v>
      </c>
      <c r="J16" s="139"/>
    </row>
    <row r="17" spans="1:18" x14ac:dyDescent="0.25">
      <c r="A17" s="54"/>
      <c r="B17" s="167" t="s">
        <v>174</v>
      </c>
      <c r="C17" s="97" t="s">
        <v>96</v>
      </c>
      <c r="D17" s="431">
        <v>269390</v>
      </c>
      <c r="E17" s="414"/>
      <c r="F17" s="431"/>
      <c r="G17" s="431"/>
      <c r="H17" s="431"/>
      <c r="I17" s="414"/>
      <c r="J17" s="139"/>
    </row>
    <row r="18" spans="1:18" x14ac:dyDescent="0.25">
      <c r="A18" s="54"/>
      <c r="B18" s="172" t="s">
        <v>175</v>
      </c>
      <c r="C18" s="432" t="s">
        <v>137</v>
      </c>
      <c r="D18" s="431">
        <v>566530</v>
      </c>
      <c r="E18" s="414">
        <v>600000</v>
      </c>
      <c r="F18" s="431">
        <v>303500</v>
      </c>
      <c r="G18" s="431">
        <f t="shared" ref="G18:G57" si="0">H18-F18</f>
        <v>381110</v>
      </c>
      <c r="H18" s="431">
        <v>684610</v>
      </c>
      <c r="I18" s="414">
        <v>685000</v>
      </c>
      <c r="J18" s="139"/>
    </row>
    <row r="19" spans="1:18" x14ac:dyDescent="0.25">
      <c r="A19" s="54"/>
      <c r="B19" s="173" t="s">
        <v>314</v>
      </c>
      <c r="C19" s="168" t="s">
        <v>284</v>
      </c>
      <c r="D19" s="431">
        <v>100800</v>
      </c>
      <c r="E19" s="414">
        <v>100800</v>
      </c>
      <c r="F19" s="414">
        <v>46200</v>
      </c>
      <c r="G19" s="431">
        <f t="shared" si="0"/>
        <v>54600</v>
      </c>
      <c r="H19" s="431">
        <v>100800</v>
      </c>
      <c r="I19" s="414">
        <v>100800</v>
      </c>
      <c r="J19" s="139"/>
    </row>
    <row r="20" spans="1:18" x14ac:dyDescent="0.25">
      <c r="A20" s="54"/>
      <c r="B20" s="173" t="s">
        <v>315</v>
      </c>
      <c r="C20" s="168" t="s">
        <v>284</v>
      </c>
      <c r="D20" s="431">
        <v>72000</v>
      </c>
      <c r="E20" s="414">
        <v>72000</v>
      </c>
      <c r="F20" s="414">
        <v>37800</v>
      </c>
      <c r="G20" s="431">
        <f t="shared" si="0"/>
        <v>37800</v>
      </c>
      <c r="H20" s="431">
        <v>75600</v>
      </c>
      <c r="I20" s="414">
        <v>75600</v>
      </c>
      <c r="J20" s="139"/>
    </row>
    <row r="21" spans="1:18" x14ac:dyDescent="0.25">
      <c r="A21" s="54"/>
      <c r="B21" s="173" t="s">
        <v>208</v>
      </c>
      <c r="C21" s="168"/>
      <c r="D21" s="431"/>
      <c r="E21" s="414">
        <v>15000</v>
      </c>
      <c r="F21" s="414"/>
      <c r="G21" s="431">
        <f t="shared" si="0"/>
        <v>0</v>
      </c>
      <c r="H21" s="431"/>
      <c r="I21" s="414">
        <v>15000</v>
      </c>
      <c r="J21" s="139"/>
    </row>
    <row r="22" spans="1:18" x14ac:dyDescent="0.25">
      <c r="A22" s="54"/>
      <c r="B22" s="173" t="s">
        <v>209</v>
      </c>
      <c r="C22" s="168"/>
      <c r="D22" s="431"/>
      <c r="E22" s="414">
        <v>15000</v>
      </c>
      <c r="F22" s="414"/>
      <c r="G22" s="431">
        <f t="shared" si="0"/>
        <v>0</v>
      </c>
      <c r="H22" s="431"/>
      <c r="I22" s="414">
        <v>15000</v>
      </c>
      <c r="J22" s="139"/>
    </row>
    <row r="23" spans="1:18" x14ac:dyDescent="0.25">
      <c r="A23" s="54"/>
      <c r="B23" s="433" t="s">
        <v>177</v>
      </c>
      <c r="C23" s="163" t="s">
        <v>122</v>
      </c>
      <c r="D23" s="166">
        <v>610</v>
      </c>
      <c r="E23" s="112">
        <v>55948.75</v>
      </c>
      <c r="F23" s="162">
        <v>35209.360000000001</v>
      </c>
      <c r="G23" s="431">
        <f t="shared" si="0"/>
        <v>13300</v>
      </c>
      <c r="H23" s="166">
        <v>48509.36</v>
      </c>
      <c r="I23" s="112">
        <v>55000</v>
      </c>
      <c r="J23" s="139"/>
    </row>
    <row r="24" spans="1:18" x14ac:dyDescent="0.25">
      <c r="A24" s="54"/>
      <c r="B24" s="434" t="s">
        <v>216</v>
      </c>
      <c r="C24" s="432" t="s">
        <v>99</v>
      </c>
      <c r="D24" s="431">
        <v>24483.5</v>
      </c>
      <c r="E24" s="431"/>
      <c r="F24" s="431"/>
      <c r="G24" s="431">
        <f t="shared" si="0"/>
        <v>0</v>
      </c>
      <c r="H24" s="431"/>
      <c r="I24" s="431"/>
      <c r="J24" s="139"/>
      <c r="K24" s="151"/>
    </row>
    <row r="25" spans="1:18" x14ac:dyDescent="0.25">
      <c r="A25" s="54"/>
      <c r="B25" s="433" t="s">
        <v>307</v>
      </c>
      <c r="C25" s="432" t="s">
        <v>98</v>
      </c>
      <c r="D25" s="431">
        <v>626105.97</v>
      </c>
      <c r="E25" s="112">
        <v>450000</v>
      </c>
      <c r="F25" s="431">
        <v>176617.16</v>
      </c>
      <c r="G25" s="431">
        <f t="shared" si="0"/>
        <v>368130.31999999995</v>
      </c>
      <c r="H25" s="431">
        <v>544747.48</v>
      </c>
      <c r="I25" s="112">
        <v>450000</v>
      </c>
      <c r="J25" s="139"/>
      <c r="K25" s="151"/>
    </row>
    <row r="26" spans="1:18" x14ac:dyDescent="0.25">
      <c r="A26" s="54"/>
      <c r="B26" s="433" t="s">
        <v>178</v>
      </c>
      <c r="C26" s="432" t="s">
        <v>137</v>
      </c>
      <c r="D26" s="431">
        <v>292706</v>
      </c>
      <c r="E26" s="112">
        <v>300000</v>
      </c>
      <c r="F26" s="431">
        <v>251589</v>
      </c>
      <c r="G26" s="431">
        <f t="shared" si="0"/>
        <v>45430</v>
      </c>
      <c r="H26" s="431">
        <v>297019</v>
      </c>
      <c r="I26" s="112">
        <v>300000</v>
      </c>
      <c r="J26" s="139"/>
      <c r="K26" s="151"/>
      <c r="L26" s="151"/>
      <c r="M26" s="151"/>
      <c r="N26" s="151"/>
      <c r="O26" s="151"/>
      <c r="P26" s="151"/>
      <c r="Q26" s="151"/>
      <c r="R26" s="151"/>
    </row>
    <row r="27" spans="1:18" x14ac:dyDescent="0.25">
      <c r="A27" s="54"/>
      <c r="B27" s="433" t="s">
        <v>214</v>
      </c>
      <c r="C27" s="432" t="s">
        <v>137</v>
      </c>
      <c r="D27" s="431">
        <v>349855.35</v>
      </c>
      <c r="E27" s="112">
        <v>450000</v>
      </c>
      <c r="F27" s="162">
        <v>38500</v>
      </c>
      <c r="G27" s="431">
        <f t="shared" si="0"/>
        <v>388285</v>
      </c>
      <c r="H27" s="431">
        <v>426785</v>
      </c>
      <c r="I27" s="112">
        <v>450000</v>
      </c>
      <c r="J27" s="139"/>
      <c r="K27" s="468"/>
      <c r="L27" s="469"/>
      <c r="M27" s="470"/>
      <c r="N27" s="151"/>
      <c r="O27" s="151"/>
      <c r="P27" s="151"/>
      <c r="Q27" s="151"/>
      <c r="R27" s="151"/>
    </row>
    <row r="28" spans="1:18" x14ac:dyDescent="0.25">
      <c r="A28" s="54"/>
      <c r="B28" s="433" t="s">
        <v>179</v>
      </c>
      <c r="C28" s="163" t="s">
        <v>171</v>
      </c>
      <c r="D28" s="166">
        <v>38345</v>
      </c>
      <c r="E28" s="112">
        <v>40000</v>
      </c>
      <c r="F28" s="162">
        <v>26356.69</v>
      </c>
      <c r="G28" s="431">
        <f t="shared" si="0"/>
        <v>11945.000000000004</v>
      </c>
      <c r="H28" s="166">
        <v>38301.69</v>
      </c>
      <c r="I28" s="112">
        <v>40000</v>
      </c>
      <c r="J28" s="139"/>
      <c r="K28" s="471"/>
      <c r="L28" s="45"/>
      <c r="M28" s="45"/>
      <c r="N28" s="45"/>
      <c r="O28" s="151"/>
      <c r="P28" s="151"/>
      <c r="Q28" s="151"/>
      <c r="R28" s="151"/>
    </row>
    <row r="29" spans="1:18" x14ac:dyDescent="0.25">
      <c r="A29" s="54"/>
      <c r="B29" s="433" t="s">
        <v>180</v>
      </c>
      <c r="C29" s="163" t="s">
        <v>171</v>
      </c>
      <c r="D29" s="166">
        <v>24000</v>
      </c>
      <c r="E29" s="112">
        <v>24000</v>
      </c>
      <c r="F29" s="162">
        <v>6000</v>
      </c>
      <c r="G29" s="431">
        <f t="shared" si="0"/>
        <v>18000</v>
      </c>
      <c r="H29" s="166">
        <v>24000</v>
      </c>
      <c r="I29" s="112">
        <v>24000</v>
      </c>
      <c r="J29" s="139"/>
      <c r="K29" s="45"/>
      <c r="L29" s="45"/>
      <c r="M29" s="151"/>
      <c r="N29" s="151"/>
      <c r="O29" s="151"/>
      <c r="P29" s="151"/>
      <c r="Q29" s="151"/>
      <c r="R29" s="151"/>
    </row>
    <row r="30" spans="1:18" x14ac:dyDescent="0.25">
      <c r="A30" s="54"/>
      <c r="B30" s="433" t="s">
        <v>181</v>
      </c>
      <c r="C30" s="163"/>
      <c r="D30" s="166"/>
      <c r="E30" s="112"/>
      <c r="F30" s="162"/>
      <c r="G30" s="431">
        <f t="shared" si="0"/>
        <v>0</v>
      </c>
      <c r="H30" s="166"/>
      <c r="I30" s="112"/>
      <c r="J30" s="139"/>
      <c r="K30" s="151"/>
      <c r="L30" s="151"/>
      <c r="M30" s="151"/>
      <c r="N30" s="151"/>
      <c r="O30" s="151"/>
      <c r="P30" s="151"/>
      <c r="Q30" s="151"/>
      <c r="R30" s="151"/>
    </row>
    <row r="31" spans="1:18" x14ac:dyDescent="0.25">
      <c r="A31" s="54"/>
      <c r="B31" s="433" t="s">
        <v>182</v>
      </c>
      <c r="C31" s="163" t="s">
        <v>284</v>
      </c>
      <c r="D31" s="161">
        <v>47674.99</v>
      </c>
      <c r="E31" s="112">
        <v>50000</v>
      </c>
      <c r="F31" s="161">
        <v>5200</v>
      </c>
      <c r="G31" s="431">
        <f t="shared" si="0"/>
        <v>3060</v>
      </c>
      <c r="H31" s="161">
        <v>8260</v>
      </c>
      <c r="I31" s="112">
        <v>25000</v>
      </c>
      <c r="J31" s="139"/>
      <c r="K31" s="471"/>
      <c r="L31" s="45"/>
      <c r="M31" s="45"/>
      <c r="N31" s="472"/>
      <c r="O31" s="151"/>
      <c r="P31" s="151"/>
      <c r="Q31" s="151"/>
      <c r="R31" s="151"/>
    </row>
    <row r="32" spans="1:18" x14ac:dyDescent="0.25">
      <c r="A32" s="54"/>
      <c r="B32" s="433" t="s">
        <v>183</v>
      </c>
      <c r="C32" s="163" t="s">
        <v>142</v>
      </c>
      <c r="D32" s="166"/>
      <c r="E32" s="112">
        <v>1000</v>
      </c>
      <c r="F32" s="162"/>
      <c r="G32" s="431">
        <f t="shared" si="0"/>
        <v>0</v>
      </c>
      <c r="H32" s="166"/>
      <c r="I32" s="112">
        <v>1000</v>
      </c>
      <c r="J32" s="139"/>
      <c r="K32" s="151"/>
      <c r="L32" s="151"/>
      <c r="M32" s="151"/>
      <c r="N32" s="151"/>
      <c r="O32" s="151"/>
      <c r="P32" s="151"/>
      <c r="Q32" s="151"/>
      <c r="R32" s="151"/>
    </row>
    <row r="33" spans="1:18" x14ac:dyDescent="0.25">
      <c r="A33" s="54"/>
      <c r="B33" s="433" t="s">
        <v>184</v>
      </c>
      <c r="C33" s="168" t="s">
        <v>284</v>
      </c>
      <c r="D33" s="166"/>
      <c r="E33" s="112">
        <v>8000</v>
      </c>
      <c r="F33" s="162"/>
      <c r="G33" s="431">
        <f t="shared" si="0"/>
        <v>0</v>
      </c>
      <c r="H33" s="166"/>
      <c r="I33" s="112">
        <v>8000</v>
      </c>
      <c r="J33" s="139"/>
      <c r="K33" s="151"/>
      <c r="L33" s="151"/>
      <c r="M33" s="151"/>
      <c r="N33" s="151"/>
      <c r="O33" s="151"/>
      <c r="P33" s="151"/>
      <c r="Q33" s="151"/>
      <c r="R33" s="151"/>
    </row>
    <row r="34" spans="1:18" x14ac:dyDescent="0.25">
      <c r="A34" s="54"/>
      <c r="B34" s="433" t="s">
        <v>185</v>
      </c>
      <c r="C34" s="97" t="s">
        <v>103</v>
      </c>
      <c r="D34" s="166">
        <v>25000</v>
      </c>
      <c r="E34" s="112">
        <v>54000</v>
      </c>
      <c r="F34" s="162"/>
      <c r="G34" s="431">
        <f t="shared" si="0"/>
        <v>0</v>
      </c>
      <c r="H34" s="166"/>
      <c r="I34" s="112">
        <v>54000</v>
      </c>
      <c r="J34" s="139"/>
      <c r="K34" s="151"/>
      <c r="L34" s="151"/>
      <c r="M34" s="151"/>
      <c r="N34" s="151"/>
      <c r="O34" s="151"/>
      <c r="P34" s="151"/>
      <c r="Q34" s="151"/>
      <c r="R34" s="151"/>
    </row>
    <row r="35" spans="1:18" x14ac:dyDescent="0.25">
      <c r="A35" s="384"/>
      <c r="B35" s="435" t="s">
        <v>205</v>
      </c>
      <c r="C35" s="163"/>
      <c r="D35" s="436"/>
      <c r="E35" s="437"/>
      <c r="F35" s="161"/>
      <c r="G35" s="431">
        <f t="shared" si="0"/>
        <v>0</v>
      </c>
      <c r="H35" s="436"/>
      <c r="I35" s="161"/>
      <c r="J35" s="139"/>
      <c r="K35" s="151"/>
      <c r="L35" s="151"/>
      <c r="M35" s="151"/>
      <c r="N35" s="151"/>
      <c r="O35" s="151"/>
      <c r="P35" s="151"/>
      <c r="Q35" s="151"/>
      <c r="R35" s="151"/>
    </row>
    <row r="36" spans="1:18" x14ac:dyDescent="0.25">
      <c r="A36" s="54"/>
      <c r="B36" s="433" t="s">
        <v>186</v>
      </c>
      <c r="C36" s="97" t="s">
        <v>92</v>
      </c>
      <c r="D36" s="436">
        <v>42775</v>
      </c>
      <c r="E36" s="437"/>
      <c r="F36" s="161"/>
      <c r="G36" s="431">
        <f t="shared" si="0"/>
        <v>0</v>
      </c>
      <c r="H36" s="436"/>
      <c r="I36" s="161"/>
      <c r="J36" s="139"/>
      <c r="K36" s="151"/>
      <c r="L36" s="151"/>
      <c r="M36" s="151"/>
      <c r="N36" s="151"/>
      <c r="O36" s="151"/>
      <c r="P36" s="151"/>
      <c r="Q36" s="151"/>
      <c r="R36" s="151"/>
    </row>
    <row r="37" spans="1:18" x14ac:dyDescent="0.25">
      <c r="A37" s="54"/>
      <c r="B37" s="433" t="s">
        <v>187</v>
      </c>
      <c r="C37" s="97" t="s">
        <v>92</v>
      </c>
      <c r="D37" s="436">
        <v>2920</v>
      </c>
      <c r="E37" s="437"/>
      <c r="F37" s="161"/>
      <c r="G37" s="431">
        <f t="shared" si="0"/>
        <v>0</v>
      </c>
      <c r="H37" s="436"/>
      <c r="I37" s="161"/>
      <c r="J37" s="139"/>
      <c r="K37" s="151"/>
      <c r="L37" s="151"/>
      <c r="M37" s="151"/>
      <c r="N37" s="151"/>
      <c r="O37" s="151"/>
      <c r="P37" s="151"/>
      <c r="Q37" s="151"/>
      <c r="R37" s="151"/>
    </row>
    <row r="38" spans="1:18" x14ac:dyDescent="0.25">
      <c r="A38" s="54"/>
      <c r="B38" s="433" t="s">
        <v>188</v>
      </c>
      <c r="C38" s="163"/>
      <c r="D38" s="436">
        <v>180753.16</v>
      </c>
      <c r="E38" s="437"/>
      <c r="F38" s="161"/>
      <c r="G38" s="431">
        <f t="shared" si="0"/>
        <v>0</v>
      </c>
      <c r="H38" s="436"/>
      <c r="I38" s="161"/>
      <c r="J38" s="139"/>
    </row>
    <row r="39" spans="1:18" x14ac:dyDescent="0.25">
      <c r="A39" s="54"/>
      <c r="B39" s="433" t="s">
        <v>189</v>
      </c>
      <c r="C39" s="163"/>
      <c r="D39" s="436">
        <v>43356.08</v>
      </c>
      <c r="E39" s="437"/>
      <c r="F39" s="161"/>
      <c r="G39" s="431"/>
      <c r="H39" s="436"/>
      <c r="I39" s="161"/>
      <c r="J39" s="139"/>
    </row>
    <row r="40" spans="1:18" x14ac:dyDescent="0.25">
      <c r="A40" s="54"/>
      <c r="B40" s="433" t="s">
        <v>210</v>
      </c>
      <c r="C40" s="89" t="s">
        <v>93</v>
      </c>
      <c r="D40" s="436">
        <v>39567.85</v>
      </c>
      <c r="E40" s="437"/>
      <c r="F40" s="161"/>
      <c r="G40" s="431"/>
      <c r="H40" s="436"/>
      <c r="I40" s="161"/>
      <c r="J40" s="139"/>
    </row>
    <row r="41" spans="1:18" x14ac:dyDescent="0.25">
      <c r="A41" s="54"/>
      <c r="B41" s="433" t="s">
        <v>211</v>
      </c>
      <c r="C41" s="438" t="s">
        <v>110</v>
      </c>
      <c r="D41" s="436">
        <v>24483.5</v>
      </c>
      <c r="E41" s="437"/>
      <c r="F41" s="161"/>
      <c r="G41" s="431"/>
      <c r="H41" s="436"/>
      <c r="I41" s="161"/>
      <c r="J41" s="139"/>
    </row>
    <row r="42" spans="1:18" x14ac:dyDescent="0.25">
      <c r="A42" s="54"/>
      <c r="B42" s="439" t="s">
        <v>176</v>
      </c>
      <c r="C42" s="160" t="s">
        <v>309</v>
      </c>
      <c r="D42" s="166">
        <f>300296+88996.8</f>
        <v>389292.79999999999</v>
      </c>
      <c r="E42" s="414"/>
      <c r="F42" s="414"/>
      <c r="G42" s="431">
        <f>H42-F42</f>
        <v>0</v>
      </c>
      <c r="H42" s="166"/>
      <c r="I42" s="414"/>
      <c r="J42" s="473"/>
      <c r="K42" s="45"/>
      <c r="L42" s="151"/>
    </row>
    <row r="43" spans="1:18" x14ac:dyDescent="0.25">
      <c r="A43" s="54"/>
      <c r="B43" s="439" t="s">
        <v>212</v>
      </c>
      <c r="C43" s="440" t="s">
        <v>92</v>
      </c>
      <c r="D43" s="166">
        <v>2920</v>
      </c>
      <c r="E43" s="414"/>
      <c r="F43" s="414"/>
      <c r="G43" s="431"/>
      <c r="H43" s="166"/>
      <c r="I43" s="414"/>
      <c r="J43" s="139"/>
      <c r="K43" s="441"/>
      <c r="L43" s="151"/>
    </row>
    <row r="44" spans="1:18" x14ac:dyDescent="0.25">
      <c r="A44" s="54"/>
      <c r="B44" s="433" t="s">
        <v>190</v>
      </c>
      <c r="C44" s="89" t="s">
        <v>93</v>
      </c>
      <c r="D44" s="436">
        <v>106800</v>
      </c>
      <c r="E44" s="437"/>
      <c r="F44" s="431"/>
      <c r="G44" s="431">
        <f t="shared" si="0"/>
        <v>0</v>
      </c>
      <c r="H44" s="436"/>
      <c r="I44" s="161"/>
      <c r="J44" s="139"/>
    </row>
    <row r="45" spans="1:18" ht="15" customHeight="1" x14ac:dyDescent="0.25">
      <c r="A45" s="54"/>
      <c r="B45" s="433" t="s">
        <v>191</v>
      </c>
      <c r="C45" s="89" t="s">
        <v>93</v>
      </c>
      <c r="D45" s="436">
        <v>15000</v>
      </c>
      <c r="E45" s="437"/>
      <c r="F45" s="161"/>
      <c r="G45" s="431">
        <f t="shared" si="0"/>
        <v>0</v>
      </c>
      <c r="H45" s="436"/>
      <c r="I45" s="161"/>
      <c r="J45" s="139"/>
    </row>
    <row r="46" spans="1:18" x14ac:dyDescent="0.25">
      <c r="A46" s="54"/>
      <c r="B46" s="433" t="s">
        <v>192</v>
      </c>
      <c r="C46" s="97" t="s">
        <v>94</v>
      </c>
      <c r="D46" s="436"/>
      <c r="E46" s="437"/>
      <c r="F46" s="161"/>
      <c r="G46" s="431">
        <f t="shared" si="0"/>
        <v>0</v>
      </c>
      <c r="H46" s="436"/>
      <c r="I46" s="161"/>
      <c r="J46" s="139"/>
    </row>
    <row r="47" spans="1:18" x14ac:dyDescent="0.25">
      <c r="A47" s="54"/>
      <c r="B47" s="433" t="s">
        <v>193</v>
      </c>
      <c r="C47" s="97" t="s">
        <v>94</v>
      </c>
      <c r="D47" s="436"/>
      <c r="E47" s="437"/>
      <c r="F47" s="161"/>
      <c r="G47" s="431">
        <f t="shared" si="0"/>
        <v>0</v>
      </c>
      <c r="H47" s="436"/>
      <c r="I47" s="161"/>
      <c r="J47" s="139"/>
    </row>
    <row r="48" spans="1:18" ht="3" customHeight="1" x14ac:dyDescent="0.25">
      <c r="A48" s="54"/>
      <c r="B48" s="433"/>
      <c r="C48" s="97"/>
      <c r="D48" s="436"/>
      <c r="E48" s="437"/>
      <c r="F48" s="161"/>
      <c r="G48" s="431"/>
      <c r="H48" s="436"/>
      <c r="I48" s="161"/>
    </row>
    <row r="49" spans="1:15" x14ac:dyDescent="0.25">
      <c r="A49" s="54"/>
      <c r="B49" s="433" t="s">
        <v>194</v>
      </c>
      <c r="C49" s="163" t="s">
        <v>215</v>
      </c>
      <c r="D49" s="166"/>
      <c r="E49" s="112">
        <v>250800</v>
      </c>
      <c r="F49" s="162"/>
      <c r="G49" s="431">
        <f t="shared" si="0"/>
        <v>100000</v>
      </c>
      <c r="H49" s="166">
        <v>100000</v>
      </c>
      <c r="I49" s="112">
        <v>250800</v>
      </c>
      <c r="J49" s="139"/>
      <c r="K49" s="471"/>
      <c r="L49" s="45"/>
      <c r="M49" s="45"/>
      <c r="N49" s="45"/>
      <c r="O49" s="151"/>
    </row>
    <row r="50" spans="1:15" x14ac:dyDescent="0.25">
      <c r="A50" s="54"/>
      <c r="B50" s="433" t="s">
        <v>195</v>
      </c>
      <c r="C50" s="163" t="s">
        <v>97</v>
      </c>
      <c r="D50" s="166">
        <v>16353.14</v>
      </c>
      <c r="E50" s="112"/>
      <c r="F50" s="162"/>
      <c r="G50" s="431">
        <f t="shared" si="0"/>
        <v>0</v>
      </c>
      <c r="H50" s="166"/>
      <c r="I50" s="112">
        <v>460000</v>
      </c>
      <c r="J50" s="139"/>
    </row>
    <row r="51" spans="1:15" x14ac:dyDescent="0.25">
      <c r="A51" s="54"/>
      <c r="B51" s="433" t="s">
        <v>196</v>
      </c>
      <c r="C51" s="163" t="s">
        <v>97</v>
      </c>
      <c r="D51" s="162"/>
      <c r="E51" s="112"/>
      <c r="F51" s="162"/>
      <c r="G51" s="431">
        <f t="shared" si="0"/>
        <v>0</v>
      </c>
      <c r="H51" s="162"/>
      <c r="I51" s="112"/>
      <c r="J51" s="139"/>
    </row>
    <row r="52" spans="1:15" x14ac:dyDescent="0.25">
      <c r="A52" s="54"/>
      <c r="B52" s="433" t="s">
        <v>197</v>
      </c>
      <c r="C52" s="163" t="s">
        <v>94</v>
      </c>
      <c r="D52" s="162"/>
      <c r="E52" s="112">
        <v>50000</v>
      </c>
      <c r="F52" s="162">
        <v>40830</v>
      </c>
      <c r="G52" s="431">
        <f t="shared" si="0"/>
        <v>5000</v>
      </c>
      <c r="H52" s="162">
        <v>45830</v>
      </c>
      <c r="I52" s="112">
        <v>0</v>
      </c>
      <c r="J52" s="139"/>
    </row>
    <row r="53" spans="1:15" x14ac:dyDescent="0.25">
      <c r="A53" s="442"/>
      <c r="B53" s="443" t="s">
        <v>206</v>
      </c>
      <c r="C53" s="163"/>
      <c r="D53" s="161"/>
      <c r="E53" s="112"/>
      <c r="F53" s="161"/>
      <c r="G53" s="431">
        <f t="shared" si="0"/>
        <v>0</v>
      </c>
      <c r="H53" s="161"/>
      <c r="I53" s="112"/>
      <c r="J53" s="139"/>
    </row>
    <row r="54" spans="1:15" x14ac:dyDescent="0.25">
      <c r="A54" s="54"/>
      <c r="B54" s="433" t="s">
        <v>198</v>
      </c>
      <c r="C54" s="89" t="s">
        <v>94</v>
      </c>
      <c r="D54" s="161">
        <v>39542.28</v>
      </c>
      <c r="E54" s="112">
        <v>15000</v>
      </c>
      <c r="F54" s="161">
        <v>2340.29</v>
      </c>
      <c r="G54" s="431">
        <f t="shared" si="0"/>
        <v>0</v>
      </c>
      <c r="H54" s="161">
        <v>2340.29</v>
      </c>
      <c r="I54" s="112">
        <v>15000</v>
      </c>
      <c r="J54" s="139"/>
    </row>
    <row r="55" spans="1:15" x14ac:dyDescent="0.25">
      <c r="A55" s="54"/>
      <c r="B55" s="433" t="s">
        <v>213</v>
      </c>
      <c r="C55" s="97" t="s">
        <v>92</v>
      </c>
      <c r="D55" s="161">
        <v>3375</v>
      </c>
      <c r="E55" s="112">
        <v>15000</v>
      </c>
      <c r="F55" s="161">
        <v>3180</v>
      </c>
      <c r="G55" s="431">
        <f t="shared" si="0"/>
        <v>2218.8999999999996</v>
      </c>
      <c r="H55" s="161">
        <v>5398.9</v>
      </c>
      <c r="I55" s="112">
        <v>15000</v>
      </c>
      <c r="J55" s="139"/>
    </row>
    <row r="56" spans="1:15" x14ac:dyDescent="0.25">
      <c r="A56" s="54"/>
      <c r="B56" s="433" t="s">
        <v>199</v>
      </c>
      <c r="C56" s="97" t="s">
        <v>93</v>
      </c>
      <c r="D56" s="161"/>
      <c r="E56" s="112">
        <v>15000</v>
      </c>
      <c r="F56" s="161">
        <v>0</v>
      </c>
      <c r="G56" s="431">
        <f t="shared" si="0"/>
        <v>0</v>
      </c>
      <c r="H56" s="161"/>
      <c r="I56" s="112">
        <v>15000</v>
      </c>
      <c r="J56" s="139"/>
    </row>
    <row r="57" spans="1:15" x14ac:dyDescent="0.25">
      <c r="A57" s="54"/>
      <c r="B57" s="433" t="s">
        <v>200</v>
      </c>
      <c r="C57" s="163" t="s">
        <v>97</v>
      </c>
      <c r="D57" s="161">
        <v>118712.15</v>
      </c>
      <c r="E57" s="112">
        <v>122000</v>
      </c>
      <c r="F57" s="161">
        <v>61650</v>
      </c>
      <c r="G57" s="431">
        <f t="shared" si="0"/>
        <v>27600</v>
      </c>
      <c r="H57" s="161">
        <v>89250</v>
      </c>
      <c r="I57" s="112">
        <v>122000</v>
      </c>
      <c r="J57" s="139"/>
    </row>
    <row r="58" spans="1:15" ht="3.75" customHeight="1" x14ac:dyDescent="0.25">
      <c r="A58" s="54"/>
      <c r="B58" s="433"/>
      <c r="C58" s="163"/>
      <c r="D58" s="161"/>
      <c r="E58" s="112"/>
      <c r="F58" s="161"/>
      <c r="G58" s="431"/>
      <c r="H58" s="161"/>
      <c r="I58" s="112"/>
      <c r="J58" s="139"/>
    </row>
    <row r="59" spans="1:15" x14ac:dyDescent="0.25">
      <c r="A59" s="54"/>
      <c r="B59" s="433" t="s">
        <v>217</v>
      </c>
      <c r="C59" s="97" t="s">
        <v>163</v>
      </c>
      <c r="D59" s="166">
        <v>114784</v>
      </c>
      <c r="E59" s="112">
        <v>100000</v>
      </c>
      <c r="F59" s="162">
        <v>29014</v>
      </c>
      <c r="G59" s="166">
        <f>H59-F59</f>
        <v>49453</v>
      </c>
      <c r="H59" s="166">
        <v>78467</v>
      </c>
      <c r="I59" s="112">
        <f>100000-10000</f>
        <v>90000</v>
      </c>
      <c r="J59" s="139"/>
    </row>
    <row r="60" spans="1:15" x14ac:dyDescent="0.25">
      <c r="A60" s="54"/>
      <c r="B60" s="433" t="s">
        <v>250</v>
      </c>
      <c r="C60" s="432" t="s">
        <v>99</v>
      </c>
      <c r="D60" s="166">
        <v>1326535.9099999999</v>
      </c>
      <c r="E60" s="112">
        <v>1000000</v>
      </c>
      <c r="F60" s="162">
        <v>803396.45</v>
      </c>
      <c r="G60" s="166">
        <f t="shared" ref="G60:G68" si="1">H60-F60</f>
        <v>793479.2</v>
      </c>
      <c r="H60" s="166">
        <v>1596875.65</v>
      </c>
      <c r="I60" s="112">
        <v>1002348.75</v>
      </c>
      <c r="J60" s="139"/>
    </row>
    <row r="61" spans="1:15" x14ac:dyDescent="0.25">
      <c r="A61" s="54"/>
      <c r="B61" s="433" t="s">
        <v>310</v>
      </c>
      <c r="C61" s="163"/>
      <c r="D61" s="166">
        <v>312925.55</v>
      </c>
      <c r="E61" s="112">
        <v>385000</v>
      </c>
      <c r="F61" s="162"/>
      <c r="G61" s="166">
        <f t="shared" si="1"/>
        <v>388714.68</v>
      </c>
      <c r="H61" s="166">
        <v>388714.68</v>
      </c>
      <c r="I61" s="112">
        <v>385000</v>
      </c>
      <c r="J61" s="139"/>
    </row>
    <row r="62" spans="1:15" x14ac:dyDescent="0.25">
      <c r="A62" s="54"/>
      <c r="B62" s="433" t="s">
        <v>201</v>
      </c>
      <c r="C62" s="163"/>
      <c r="D62" s="166">
        <v>336461.19</v>
      </c>
      <c r="E62" s="112">
        <v>285000</v>
      </c>
      <c r="F62" s="162"/>
      <c r="G62" s="166">
        <f t="shared" si="1"/>
        <v>94977.75</v>
      </c>
      <c r="H62" s="166">
        <v>94977.75</v>
      </c>
      <c r="I62" s="112">
        <v>285000</v>
      </c>
      <c r="J62" s="139"/>
    </row>
    <row r="63" spans="1:15" x14ac:dyDescent="0.25">
      <c r="A63" s="54"/>
      <c r="B63" s="433" t="s">
        <v>202</v>
      </c>
      <c r="C63" s="163"/>
      <c r="D63" s="166"/>
      <c r="E63" s="112">
        <v>250000</v>
      </c>
      <c r="F63" s="162"/>
      <c r="G63" s="166">
        <f t="shared" si="1"/>
        <v>231214.25</v>
      </c>
      <c r="H63" s="166">
        <v>231214.25</v>
      </c>
      <c r="I63" s="112">
        <v>300000</v>
      </c>
      <c r="J63" s="139"/>
    </row>
    <row r="64" spans="1:15" x14ac:dyDescent="0.25">
      <c r="A64" s="54"/>
      <c r="B64" s="433" t="s">
        <v>203</v>
      </c>
      <c r="C64" s="163"/>
      <c r="D64" s="166">
        <v>247544</v>
      </c>
      <c r="E64" s="112">
        <v>50000</v>
      </c>
      <c r="F64" s="162"/>
      <c r="G64" s="166">
        <f t="shared" si="1"/>
        <v>50000</v>
      </c>
      <c r="H64" s="166">
        <v>50000</v>
      </c>
      <c r="I64" s="112">
        <v>50000</v>
      </c>
      <c r="J64" s="139"/>
    </row>
    <row r="65" spans="1:11" x14ac:dyDescent="0.25">
      <c r="A65" s="54"/>
      <c r="B65" s="433" t="s">
        <v>204</v>
      </c>
      <c r="C65" s="163"/>
      <c r="D65" s="166"/>
      <c r="E65" s="112">
        <v>50000</v>
      </c>
      <c r="F65" s="162"/>
      <c r="G65" s="166">
        <f t="shared" si="1"/>
        <v>0</v>
      </c>
      <c r="H65" s="166"/>
      <c r="I65" s="112">
        <v>0</v>
      </c>
      <c r="J65" s="139"/>
    </row>
    <row r="66" spans="1:11" x14ac:dyDescent="0.25">
      <c r="A66" s="54"/>
      <c r="B66" s="164" t="s">
        <v>279</v>
      </c>
      <c r="C66" s="163"/>
      <c r="D66" s="165">
        <v>57310</v>
      </c>
      <c r="E66" s="112">
        <v>100000</v>
      </c>
      <c r="F66" s="162"/>
      <c r="G66" s="166">
        <f t="shared" si="1"/>
        <v>0</v>
      </c>
      <c r="H66" s="166"/>
      <c r="I66" s="112">
        <v>100000</v>
      </c>
      <c r="J66" s="139"/>
    </row>
    <row r="67" spans="1:11" ht="30" x14ac:dyDescent="0.25">
      <c r="A67" s="54"/>
      <c r="B67" s="164" t="s">
        <v>247</v>
      </c>
      <c r="C67" s="163" t="s">
        <v>96</v>
      </c>
      <c r="D67" s="165">
        <v>149450</v>
      </c>
      <c r="E67" s="112">
        <v>150000</v>
      </c>
      <c r="F67" s="161">
        <v>0</v>
      </c>
      <c r="G67" s="165">
        <f t="shared" si="1"/>
        <v>149890</v>
      </c>
      <c r="H67" s="165">
        <v>149890</v>
      </c>
      <c r="I67" s="112">
        <f>150000-50000</f>
        <v>100000</v>
      </c>
      <c r="J67" s="139"/>
    </row>
    <row r="68" spans="1:11" x14ac:dyDescent="0.25">
      <c r="A68" s="54"/>
      <c r="B68" s="164" t="s">
        <v>248</v>
      </c>
      <c r="C68" s="163"/>
      <c r="D68" s="165">
        <v>112430</v>
      </c>
      <c r="E68" s="112">
        <v>50000</v>
      </c>
      <c r="F68" s="162">
        <v>0</v>
      </c>
      <c r="G68" s="166">
        <f t="shared" si="1"/>
        <v>154528.53</v>
      </c>
      <c r="H68" s="166">
        <v>154528.53</v>
      </c>
      <c r="I68" s="112">
        <v>50000</v>
      </c>
      <c r="J68" s="139"/>
    </row>
    <row r="69" spans="1:11" x14ac:dyDescent="0.25">
      <c r="A69" s="54"/>
      <c r="B69" s="167" t="s">
        <v>313</v>
      </c>
      <c r="C69" s="168" t="s">
        <v>284</v>
      </c>
      <c r="D69" s="169">
        <v>278300</v>
      </c>
      <c r="E69" s="162">
        <v>395200</v>
      </c>
      <c r="F69" s="162">
        <v>178200</v>
      </c>
      <c r="G69" s="170">
        <f>H69-F69</f>
        <v>206100</v>
      </c>
      <c r="H69" s="170">
        <v>384300</v>
      </c>
      <c r="I69" s="162">
        <f>395200+162000</f>
        <v>557200</v>
      </c>
      <c r="J69" s="139"/>
    </row>
    <row r="70" spans="1:11" x14ac:dyDescent="0.25">
      <c r="A70" s="54"/>
      <c r="B70" s="167" t="s">
        <v>249</v>
      </c>
      <c r="C70" s="168" t="s">
        <v>96</v>
      </c>
      <c r="D70" s="169">
        <v>379613</v>
      </c>
      <c r="E70" s="162">
        <v>380000</v>
      </c>
      <c r="F70" s="162">
        <v>206886.27</v>
      </c>
      <c r="G70" s="170">
        <f t="shared" ref="G70" si="2">H70-F70</f>
        <v>171351.73</v>
      </c>
      <c r="H70" s="170">
        <v>378238</v>
      </c>
      <c r="I70" s="162">
        <v>476000</v>
      </c>
      <c r="J70" s="139"/>
    </row>
    <row r="71" spans="1:11" x14ac:dyDescent="0.25">
      <c r="A71" s="54"/>
      <c r="B71" s="444" t="s">
        <v>251</v>
      </c>
      <c r="C71" s="168" t="s">
        <v>284</v>
      </c>
      <c r="D71" s="161"/>
      <c r="E71" s="112">
        <v>192000</v>
      </c>
      <c r="F71" s="161">
        <v>40320</v>
      </c>
      <c r="G71" s="431">
        <f>H71-F71</f>
        <v>151680</v>
      </c>
      <c r="H71" s="161">
        <v>192000</v>
      </c>
      <c r="I71" s="112">
        <v>256000</v>
      </c>
      <c r="J71" s="139"/>
    </row>
    <row r="72" spans="1:11" x14ac:dyDescent="0.25">
      <c r="A72" s="445"/>
      <c r="B72" s="446" t="s">
        <v>207</v>
      </c>
      <c r="C72" s="108" t="s">
        <v>316</v>
      </c>
      <c r="D72" s="109"/>
      <c r="E72" s="110"/>
      <c r="F72" s="109"/>
      <c r="G72" s="111"/>
      <c r="H72" s="109"/>
      <c r="I72" s="112">
        <v>100000</v>
      </c>
      <c r="J72" s="139"/>
    </row>
    <row r="73" spans="1:11" s="452" customFormat="1" ht="13.5" thickBot="1" x14ac:dyDescent="0.25">
      <c r="A73" s="447" t="s">
        <v>68</v>
      </c>
      <c r="B73" s="448"/>
      <c r="C73" s="449"/>
      <c r="D73" s="450">
        <f>SUM(D16:D71)</f>
        <v>6826505.4199999999</v>
      </c>
      <c r="E73" s="450">
        <f>SUM(E16:E71)</f>
        <v>6155748.75</v>
      </c>
      <c r="F73" s="450">
        <f>SUM(F16:F71)</f>
        <v>2311919.2199999997</v>
      </c>
      <c r="G73" s="450">
        <f>SUM(G16:G71)</f>
        <v>3924928.36</v>
      </c>
      <c r="H73" s="450">
        <f>SUM(H16:H71)</f>
        <v>6236847.5799999991</v>
      </c>
      <c r="I73" s="450">
        <f>SUM(I16:I72)</f>
        <v>6977748.75</v>
      </c>
      <c r="J73" s="451"/>
      <c r="K73" s="451"/>
    </row>
    <row r="74" spans="1:11" ht="15.75" thickTop="1" x14ac:dyDescent="0.25">
      <c r="A74" s="453" t="s">
        <v>13</v>
      </c>
      <c r="B74" s="454"/>
      <c r="C74" s="455"/>
      <c r="D74" s="455"/>
      <c r="E74" s="455"/>
      <c r="F74" s="455"/>
      <c r="G74" s="455"/>
      <c r="H74" s="455"/>
      <c r="I74" s="455"/>
    </row>
    <row r="75" spans="1:11" x14ac:dyDescent="0.25">
      <c r="A75" s="456"/>
      <c r="B75" s="446" t="s">
        <v>207</v>
      </c>
      <c r="C75" s="457" t="s">
        <v>110</v>
      </c>
      <c r="D75" s="458"/>
      <c r="E75" s="458">
        <v>203079.21</v>
      </c>
      <c r="F75" s="458">
        <v>64499.18</v>
      </c>
      <c r="G75" s="459">
        <f t="shared" ref="G75" si="3">H75-F75</f>
        <v>77700</v>
      </c>
      <c r="H75" s="458">
        <v>142199.18</v>
      </c>
      <c r="I75" s="458">
        <v>0</v>
      </c>
      <c r="J75" s="139"/>
    </row>
    <row r="76" spans="1:11" ht="15.75" thickBot="1" x14ac:dyDescent="0.3">
      <c r="A76" s="460" t="s">
        <v>69</v>
      </c>
      <c r="B76" s="461"/>
      <c r="C76" s="462"/>
      <c r="D76" s="463">
        <f t="shared" ref="D76:I76" si="4">SUM(D75:D75)</f>
        <v>0</v>
      </c>
      <c r="E76" s="463">
        <f t="shared" si="4"/>
        <v>203079.21</v>
      </c>
      <c r="F76" s="463">
        <f t="shared" si="4"/>
        <v>64499.18</v>
      </c>
      <c r="G76" s="463">
        <f t="shared" si="4"/>
        <v>77700</v>
      </c>
      <c r="H76" s="463">
        <f>SUM(H75:H75)</f>
        <v>142199.18</v>
      </c>
      <c r="I76" s="463">
        <f t="shared" si="4"/>
        <v>0</v>
      </c>
    </row>
    <row r="77" spans="1:11" ht="16.5" thickTop="1" thickBot="1" x14ac:dyDescent="0.3">
      <c r="A77" s="464" t="s">
        <v>20</v>
      </c>
      <c r="B77" s="465"/>
      <c r="C77" s="466"/>
      <c r="D77" s="467">
        <f t="shared" ref="D77:I77" si="5">D73+D76</f>
        <v>6826505.4199999999</v>
      </c>
      <c r="E77" s="467">
        <f t="shared" si="5"/>
        <v>6358827.96</v>
      </c>
      <c r="F77" s="467">
        <f t="shared" si="5"/>
        <v>2376418.4</v>
      </c>
      <c r="G77" s="467">
        <f t="shared" si="5"/>
        <v>4002628.36</v>
      </c>
      <c r="H77" s="467">
        <f>H73+H76</f>
        <v>6379046.7599999988</v>
      </c>
      <c r="I77" s="467">
        <f t="shared" si="5"/>
        <v>6977748.75</v>
      </c>
      <c r="K77" s="139"/>
    </row>
    <row r="78" spans="1:11" ht="21.75" thickTop="1" x14ac:dyDescent="0.35">
      <c r="B78" s="119"/>
      <c r="C78" s="119"/>
      <c r="D78" s="119"/>
      <c r="E78" s="119"/>
      <c r="F78" s="119"/>
      <c r="G78" s="119"/>
      <c r="H78" s="119"/>
      <c r="I78" s="119"/>
    </row>
    <row r="79" spans="1:11" x14ac:dyDescent="0.25">
      <c r="B79" s="153" t="s">
        <v>22</v>
      </c>
      <c r="C79" s="36" t="s">
        <v>23</v>
      </c>
      <c r="E79" s="113"/>
      <c r="G79" s="36" t="s">
        <v>24</v>
      </c>
      <c r="I79" s="41"/>
      <c r="J79" s="139"/>
    </row>
    <row r="80" spans="1:11" x14ac:dyDescent="0.25">
      <c r="E80" s="113"/>
      <c r="I80" s="41"/>
    </row>
    <row r="81" spans="2:9" x14ac:dyDescent="0.25">
      <c r="B81" s="216" t="s">
        <v>62</v>
      </c>
      <c r="C81" s="1086" t="s">
        <v>51</v>
      </c>
      <c r="D81" s="1086"/>
      <c r="E81" s="1086"/>
      <c r="F81" s="1086"/>
      <c r="G81" s="1085" t="str">
        <f>B81</f>
        <v xml:space="preserve">EUGENIO B. DATAHAN II  </v>
      </c>
      <c r="H81" s="1085"/>
      <c r="I81" s="1085"/>
    </row>
    <row r="82" spans="2:9" x14ac:dyDescent="0.25">
      <c r="B82" s="206" t="s">
        <v>63</v>
      </c>
      <c r="C82" s="1070" t="s">
        <v>64</v>
      </c>
      <c r="D82" s="1070"/>
      <c r="E82" s="1070"/>
      <c r="F82" s="1070"/>
      <c r="G82" s="1070" t="s">
        <v>67</v>
      </c>
      <c r="H82" s="1070"/>
      <c r="I82" s="1070"/>
    </row>
    <row r="83" spans="2:9" ht="21" x14ac:dyDescent="0.35">
      <c r="B83" s="474"/>
      <c r="C83" s="151"/>
      <c r="D83" s="44"/>
      <c r="E83" s="44"/>
      <c r="F83" s="44"/>
      <c r="G83" s="44"/>
      <c r="H83" s="44"/>
      <c r="I83" s="44"/>
    </row>
    <row r="84" spans="2:9" x14ac:dyDescent="0.25">
      <c r="B84" s="151"/>
      <c r="C84" s="151"/>
      <c r="D84" s="44"/>
      <c r="E84" s="44"/>
      <c r="F84" s="44"/>
      <c r="G84" s="44"/>
      <c r="H84" s="44"/>
      <c r="I84" s="44"/>
    </row>
    <row r="85" spans="2:9" x14ac:dyDescent="0.25">
      <c r="B85" s="151"/>
      <c r="C85" s="151"/>
      <c r="D85" s="475"/>
      <c r="E85" s="151"/>
      <c r="F85" s="151"/>
      <c r="G85" s="151"/>
      <c r="H85" s="151"/>
      <c r="I85" s="151"/>
    </row>
    <row r="86" spans="2:9" x14ac:dyDescent="0.25">
      <c r="B86" s="151"/>
      <c r="C86" s="151"/>
      <c r="D86" s="475"/>
      <c r="E86" s="151"/>
      <c r="F86" s="151"/>
      <c r="G86" s="151"/>
      <c r="H86" s="151"/>
      <c r="I86" s="151"/>
    </row>
    <row r="87" spans="2:9" x14ac:dyDescent="0.25">
      <c r="B87" s="151"/>
      <c r="C87" s="151"/>
      <c r="D87" s="151"/>
      <c r="E87" s="151"/>
      <c r="F87" s="151"/>
      <c r="G87" s="151"/>
      <c r="H87" s="151"/>
      <c r="I87" s="151"/>
    </row>
    <row r="88" spans="2:9" x14ac:dyDescent="0.25">
      <c r="B88" s="151"/>
      <c r="C88" s="151"/>
      <c r="D88" s="475"/>
      <c r="E88" s="151"/>
      <c r="F88" s="151"/>
      <c r="G88" s="151"/>
      <c r="H88" s="151"/>
      <c r="I88" s="151"/>
    </row>
  </sheetData>
  <sheetProtection algorithmName="SHA-512" hashValue="tnbQDgybgvKTxa9ZwNpvtpFVwdLZlAUQOm6kNbdAKUnIahnCjT0HqcBWozQKo8N+iW1+yYNagnvef1lBdv/c2g==" saltValue="k1e2FTwZC280WDzuEu1Sbg==" spinCount="100000" sheet="1" objects="1" scenarios="1" selectLockedCells="1" selectUnlockedCells="1"/>
  <mergeCells count="10">
    <mergeCell ref="C81:F81"/>
    <mergeCell ref="G81:I81"/>
    <mergeCell ref="C82:F82"/>
    <mergeCell ref="G82:I82"/>
    <mergeCell ref="B3:I3"/>
    <mergeCell ref="B10:B11"/>
    <mergeCell ref="C10:C11"/>
    <mergeCell ref="F10:H10"/>
    <mergeCell ref="B4:I4"/>
    <mergeCell ref="E10:E14"/>
  </mergeCells>
  <conditionalFormatting sqref="B15:I15 G40:G41">
    <cfRule type="expression" dxfId="278" priority="93">
      <formula>ISNUMBER(SEARCH($B$2,B6))</formula>
    </cfRule>
  </conditionalFormatting>
  <conditionalFormatting sqref="K43">
    <cfRule type="expression" dxfId="277" priority="95">
      <formula>ISNUMBER(SEARCH($B$2,H17))</formula>
    </cfRule>
  </conditionalFormatting>
  <conditionalFormatting sqref="B32:C32 I28:I30 I32 F26:F30 F46:F48 F36:F41 F32 B75:F75 H75:I75 B36:C41 B46:C48 B50 I50 F50 B73:I74 B26:C30">
    <cfRule type="expression" dxfId="276" priority="87">
      <formula>ISNUMBER(SEARCH($B$2,#REF!))</formula>
    </cfRule>
  </conditionalFormatting>
  <conditionalFormatting sqref="B31:C31 F31 G31:G38 I31">
    <cfRule type="expression" dxfId="275" priority="100">
      <formula>ISNUMBER(SEARCH($B$2,B23))</formula>
    </cfRule>
  </conditionalFormatting>
  <conditionalFormatting sqref="G17:G21 F16:G16 E16:E18 I16:I18 B16:C17 B18 G23:G29 F44:F45 F17:F18 B51:F52 H51:I54 B54:F54 C53:F53">
    <cfRule type="expression" dxfId="274" priority="111">
      <formula>ISNUMBER(SEARCH($B$2,B9))</formula>
    </cfRule>
  </conditionalFormatting>
  <conditionalFormatting sqref="I23 B23:C24 F23:F24">
    <cfRule type="expression" dxfId="273" priority="114">
      <formula>ISNUMBER(SEARCH($B$2,B22))</formula>
    </cfRule>
  </conditionalFormatting>
  <conditionalFormatting sqref="H21:I22 E21:F22 B21:C22 B55:F55 G50:G53 H55:I55">
    <cfRule type="expression" dxfId="272" priority="115">
      <formula>ISNUMBER(SEARCH($B$2,B15))</formula>
    </cfRule>
  </conditionalFormatting>
  <conditionalFormatting sqref="I34 B34:C34 F34">
    <cfRule type="expression" dxfId="271" priority="120">
      <formula>ISNUMBER(SEARCH($B$2,#REF!))</formula>
    </cfRule>
  </conditionalFormatting>
  <conditionalFormatting sqref="B44:B45">
    <cfRule type="expression" dxfId="270" priority="124">
      <formula>ISNUMBER(SEARCH($B$2,B37))</formula>
    </cfRule>
  </conditionalFormatting>
  <conditionalFormatting sqref="H32 H36:I41 H46:I48 H25:H30 B60:C66 H50 C67:C68 F60:I60 F63:I70 F61:H62">
    <cfRule type="expression" dxfId="269" priority="83">
      <formula>ISNUMBER(SEARCH($B$2,#REF!))</formula>
    </cfRule>
  </conditionalFormatting>
  <conditionalFormatting sqref="G44:G48">
    <cfRule type="expression" dxfId="268" priority="84">
      <formula>ISNUMBER(SEARCH($B$2,G33))</formula>
    </cfRule>
  </conditionalFormatting>
  <conditionalFormatting sqref="I35 C35 F35">
    <cfRule type="expression" dxfId="267" priority="85">
      <formula>ISNUMBER(SEARCH($B$2,C31))</formula>
    </cfRule>
  </conditionalFormatting>
  <conditionalFormatting sqref="I44:I45">
    <cfRule type="expression" dxfId="266" priority="86">
      <formula>ISNUMBER(SEARCH($B$2,I37))</formula>
    </cfRule>
  </conditionalFormatting>
  <conditionalFormatting sqref="H16:H18">
    <cfRule type="expression" dxfId="265" priority="80">
      <formula>ISNUMBER(SEARCH($B$2,H9))</formula>
    </cfRule>
  </conditionalFormatting>
  <conditionalFormatting sqref="H23">
    <cfRule type="expression" dxfId="264" priority="82">
      <formula>ISNUMBER(SEARCH($B$2,H22))</formula>
    </cfRule>
  </conditionalFormatting>
  <conditionalFormatting sqref="I24">
    <cfRule type="expression" dxfId="263" priority="78">
      <formula>ISNUMBER(SEARCH($B$2,#REF!))</formula>
    </cfRule>
  </conditionalFormatting>
  <conditionalFormatting sqref="H31">
    <cfRule type="expression" dxfId="262" priority="72">
      <formula>ISNUMBER(SEARCH($B$2,H23))</formula>
    </cfRule>
  </conditionalFormatting>
  <conditionalFormatting sqref="H24">
    <cfRule type="expression" dxfId="261" priority="73">
      <formula>ISNUMBER(SEARCH($B$2,#REF!))</formula>
    </cfRule>
  </conditionalFormatting>
  <conditionalFormatting sqref="H33:I33 F33 B33 G54:G55">
    <cfRule type="expression" dxfId="260" priority="74">
      <formula>ISNUMBER(SEARCH($B$2,B28))</formula>
    </cfRule>
  </conditionalFormatting>
  <conditionalFormatting sqref="H34">
    <cfRule type="expression" dxfId="259" priority="75">
      <formula>ISNUMBER(SEARCH($B$2,#REF!))</formula>
    </cfRule>
  </conditionalFormatting>
  <conditionalFormatting sqref="F49 B49:C49 H49:I49">
    <cfRule type="expression" dxfId="258" priority="62">
      <formula>ISNUMBER(SEARCH($B$2,#REF!))</formula>
    </cfRule>
  </conditionalFormatting>
  <conditionalFormatting sqref="H35">
    <cfRule type="expression" dxfId="257" priority="64">
      <formula>ISNUMBER(SEARCH($B$2,H31))</formula>
    </cfRule>
  </conditionalFormatting>
  <conditionalFormatting sqref="H44:H45">
    <cfRule type="expression" dxfId="256" priority="65">
      <formula>ISNUMBER(SEARCH($B$2,H37))</formula>
    </cfRule>
  </conditionalFormatting>
  <conditionalFormatting sqref="B76:I77">
    <cfRule type="expression" dxfId="255" priority="127">
      <formula>ISNUMBER(SEARCH($B$2,B75))</formula>
    </cfRule>
  </conditionalFormatting>
  <conditionalFormatting sqref="G22">
    <cfRule type="expression" dxfId="254" priority="134">
      <formula>ISNUMBER(SEARCH($B$2,#REF!))</formula>
    </cfRule>
  </conditionalFormatting>
  <conditionalFormatting sqref="B20:C20 H20:I20 F20">
    <cfRule type="expression" dxfId="253" priority="138">
      <formula>ISNUMBER(SEARCH($B$2,#REF!))</formula>
    </cfRule>
  </conditionalFormatting>
  <conditionalFormatting sqref="D32 D36:D41 D46:D48 D25:D30 D60:D70 D50">
    <cfRule type="expression" dxfId="252" priority="55">
      <formula>ISNUMBER(SEARCH($B$2,#REF!))</formula>
    </cfRule>
  </conditionalFormatting>
  <conditionalFormatting sqref="D21:D22">
    <cfRule type="expression" dxfId="251" priority="57">
      <formula>ISNUMBER(SEARCH($B$2,D15))</formula>
    </cfRule>
  </conditionalFormatting>
  <conditionalFormatting sqref="H19:I19 B19:F19">
    <cfRule type="expression" dxfId="250" priority="58">
      <formula>ISNUMBER(SEARCH($B$2,B14))</formula>
    </cfRule>
  </conditionalFormatting>
  <conditionalFormatting sqref="D16:D18">
    <cfRule type="expression" dxfId="249" priority="52">
      <formula>ISNUMBER(SEARCH($B$2,D9))</formula>
    </cfRule>
  </conditionalFormatting>
  <conditionalFormatting sqref="D23">
    <cfRule type="expression" dxfId="248" priority="53">
      <formula>ISNUMBER(SEARCH($B$2,D22))</formula>
    </cfRule>
  </conditionalFormatting>
  <conditionalFormatting sqref="D31">
    <cfRule type="expression" dxfId="247" priority="48">
      <formula>ISNUMBER(SEARCH($B$2,D23))</formula>
    </cfRule>
  </conditionalFormatting>
  <conditionalFormatting sqref="D24">
    <cfRule type="expression" dxfId="246" priority="49">
      <formula>ISNUMBER(SEARCH($B$2,#REF!))</formula>
    </cfRule>
  </conditionalFormatting>
  <conditionalFormatting sqref="D33">
    <cfRule type="expression" dxfId="245" priority="50">
      <formula>ISNUMBER(SEARCH($B$2,D28))</formula>
    </cfRule>
  </conditionalFormatting>
  <conditionalFormatting sqref="D34">
    <cfRule type="expression" dxfId="244" priority="51">
      <formula>ISNUMBER(SEARCH($B$2,#REF!))</formula>
    </cfRule>
  </conditionalFormatting>
  <conditionalFormatting sqref="D49">
    <cfRule type="expression" dxfId="243" priority="44">
      <formula>ISNUMBER(SEARCH($B$2,#REF!))</formula>
    </cfRule>
  </conditionalFormatting>
  <conditionalFormatting sqref="D35">
    <cfRule type="expression" dxfId="242" priority="46">
      <formula>ISNUMBER(SEARCH($B$2,D31))</formula>
    </cfRule>
  </conditionalFormatting>
  <conditionalFormatting sqref="D44:D45">
    <cfRule type="expression" dxfId="241" priority="47">
      <formula>ISNUMBER(SEARCH($B$2,D37))</formula>
    </cfRule>
  </conditionalFormatting>
  <conditionalFormatting sqref="D59 F59:I59 B59">
    <cfRule type="expression" dxfId="240" priority="59">
      <formula>ISNUMBER(SEARCH($B$2,B57))</formula>
    </cfRule>
  </conditionalFormatting>
  <conditionalFormatting sqref="D20">
    <cfRule type="expression" dxfId="239" priority="60">
      <formula>ISNUMBER(SEARCH($B$2,#REF!))</formula>
    </cfRule>
  </conditionalFormatting>
  <conditionalFormatting sqref="E28:E30 E32 E60:E70 E50">
    <cfRule type="expression" dxfId="238" priority="34">
      <formula>ISNUMBER(SEARCH($B$2,#REF!))</formula>
    </cfRule>
  </conditionalFormatting>
  <conditionalFormatting sqref="E31">
    <cfRule type="expression" dxfId="237" priority="36">
      <formula>ISNUMBER(SEARCH($B$2,E23))</formula>
    </cfRule>
  </conditionalFormatting>
  <conditionalFormatting sqref="E42:F43 I42:I43 B42:B43">
    <cfRule type="expression" dxfId="236" priority="37">
      <formula>ISNUMBER(SEARCH($B$2,B16))</formula>
    </cfRule>
  </conditionalFormatting>
  <conditionalFormatting sqref="E49">
    <cfRule type="expression" dxfId="235" priority="38">
      <formula>ISNUMBER(SEARCH($B$2,#REF!))</formula>
    </cfRule>
  </conditionalFormatting>
  <conditionalFormatting sqref="E23">
    <cfRule type="expression" dxfId="234" priority="39">
      <formula>ISNUMBER(SEARCH($B$2,E22))</formula>
    </cfRule>
  </conditionalFormatting>
  <conditionalFormatting sqref="E33">
    <cfRule type="expression" dxfId="233" priority="40">
      <formula>ISNUMBER(SEARCH($B$2,E28))</formula>
    </cfRule>
  </conditionalFormatting>
  <conditionalFormatting sqref="E34">
    <cfRule type="expression" dxfId="232" priority="41">
      <formula>ISNUMBER(SEARCH($B$2,#REF!))</formula>
    </cfRule>
  </conditionalFormatting>
  <conditionalFormatting sqref="E35">
    <cfRule type="expression" dxfId="231" priority="32">
      <formula>ISNUMBER(SEARCH($B$2,E31))</formula>
    </cfRule>
  </conditionalFormatting>
  <conditionalFormatting sqref="E24">
    <cfRule type="expression" dxfId="230" priority="29">
      <formula>ISNUMBER(SEARCH($B$2,#REF!))</formula>
    </cfRule>
  </conditionalFormatting>
  <conditionalFormatting sqref="E59">
    <cfRule type="expression" dxfId="229" priority="42">
      <formula>ISNUMBER(SEARCH($B$2,E57))</formula>
    </cfRule>
  </conditionalFormatting>
  <conditionalFormatting sqref="E20">
    <cfRule type="expression" dxfId="228" priority="43">
      <formula>ISNUMBER(SEARCH($B$2,#REF!))</formula>
    </cfRule>
  </conditionalFormatting>
  <conditionalFormatting sqref="G75">
    <cfRule type="expression" dxfId="227" priority="28">
      <formula>ISNUMBER(SEARCH($B$2,#REF!))</formula>
    </cfRule>
  </conditionalFormatting>
  <conditionalFormatting sqref="G42:G43 G39 B56:H56 B57:B58 D57:H58">
    <cfRule type="expression" dxfId="226" priority="144">
      <formula>ISNUMBER(SEARCH($B$2,#REF!))</formula>
    </cfRule>
  </conditionalFormatting>
  <conditionalFormatting sqref="A15">
    <cfRule type="expression" dxfId="225" priority="27">
      <formula>ISNUMBER(SEARCH($B$2,A6))</formula>
    </cfRule>
  </conditionalFormatting>
  <conditionalFormatting sqref="A53">
    <cfRule type="expression" dxfId="224" priority="26">
      <formula>ISNUMBER(SEARCH($B$2,A46))</formula>
    </cfRule>
  </conditionalFormatting>
  <conditionalFormatting sqref="A73">
    <cfRule type="expression" dxfId="223" priority="25">
      <formula>ISNUMBER(SEARCH($B$2,#REF!))</formula>
    </cfRule>
  </conditionalFormatting>
  <conditionalFormatting sqref="A74">
    <cfRule type="expression" dxfId="222" priority="24">
      <formula>ISNUMBER(SEARCH($B$2,#REF!))</formula>
    </cfRule>
  </conditionalFormatting>
  <conditionalFormatting sqref="B80">
    <cfRule type="expression" dxfId="221" priority="23">
      <formula>ISNUMBER(SEARCH($B$2,#REF!))</formula>
    </cfRule>
  </conditionalFormatting>
  <conditionalFormatting sqref="A77">
    <cfRule type="expression" dxfId="220" priority="22">
      <formula>ISNUMBER(SEARCH($B$2,A76))</formula>
    </cfRule>
  </conditionalFormatting>
  <conditionalFormatting sqref="B25:C25 F25">
    <cfRule type="expression" dxfId="219" priority="153">
      <formula>ISNUMBER(SEARCH($B$2,B42))</formula>
    </cfRule>
  </conditionalFormatting>
  <conditionalFormatting sqref="C18">
    <cfRule type="expression" dxfId="218" priority="21">
      <formula>ISNUMBER(SEARCH($B$2,#REF!))</formula>
    </cfRule>
  </conditionalFormatting>
  <conditionalFormatting sqref="G30">
    <cfRule type="expression" dxfId="217" priority="155">
      <formula>ISNUMBER(SEARCH($B$2,#REF!))</formula>
    </cfRule>
  </conditionalFormatting>
  <conditionalFormatting sqref="C43">
    <cfRule type="expression" dxfId="216" priority="20">
      <formula>ISNUMBER(SEARCH($B$2,#REF!))</formula>
    </cfRule>
  </conditionalFormatting>
  <conditionalFormatting sqref="C57:C58">
    <cfRule type="expression" dxfId="215" priority="19">
      <formula>ISNUMBER(SEARCH($B$2,C51))</formula>
    </cfRule>
  </conditionalFormatting>
  <conditionalFormatting sqref="A76">
    <cfRule type="expression" dxfId="214" priority="18">
      <formula>ISNUMBER(SEARCH($B$2,A75))</formula>
    </cfRule>
  </conditionalFormatting>
  <conditionalFormatting sqref="B67:B70">
    <cfRule type="expression" dxfId="213" priority="17">
      <formula>ISNUMBER(SEARCH($A$2,B34))</formula>
    </cfRule>
  </conditionalFormatting>
  <conditionalFormatting sqref="H71:I72 B71 C72:F72 D71:F71">
    <cfRule type="expression" dxfId="212" priority="15">
      <formula>ISNUMBER(SEARCH($B$2,#REF!))</formula>
    </cfRule>
  </conditionalFormatting>
  <conditionalFormatting sqref="G71:G72">
    <cfRule type="expression" dxfId="211" priority="16">
      <formula>ISNUMBER(SEARCH($B$2,G62))</formula>
    </cfRule>
  </conditionalFormatting>
  <conditionalFormatting sqref="I56:I58">
    <cfRule type="expression" dxfId="210" priority="14">
      <formula>ISNUMBER(SEARCH($B$2,#REF!))</formula>
    </cfRule>
  </conditionalFormatting>
  <conditionalFormatting sqref="I61:I62">
    <cfRule type="expression" dxfId="209" priority="12">
      <formula>ISNUMBER(SEARCH($B$2,#REF!))</formula>
    </cfRule>
  </conditionalFormatting>
  <conditionalFormatting sqref="G49">
    <cfRule type="expression" dxfId="208" priority="162">
      <formula>ISNUMBER(SEARCH($B$2,G37))</formula>
    </cfRule>
  </conditionalFormatting>
  <conditionalFormatting sqref="B53">
    <cfRule type="expression" dxfId="207" priority="11">
      <formula>ISNUMBER(SEARCH($B$2,B46))</formula>
    </cfRule>
  </conditionalFormatting>
  <conditionalFormatting sqref="B72">
    <cfRule type="expression" dxfId="206" priority="10">
      <formula>ISNUMBER(SEARCH($B$2,#REF!))</formula>
    </cfRule>
  </conditionalFormatting>
  <conditionalFormatting sqref="C50">
    <cfRule type="expression" dxfId="205" priority="9">
      <formula>ISNUMBER(SEARCH($B$2,C43))</formula>
    </cfRule>
  </conditionalFormatting>
  <conditionalFormatting sqref="K42">
    <cfRule type="expression" dxfId="204" priority="8">
      <formula>ISNUMBER(SEARCH($B$2,K16))</formula>
    </cfRule>
  </conditionalFormatting>
  <conditionalFormatting sqref="C44">
    <cfRule type="expression" dxfId="203" priority="7">
      <formula>ISNUMBER(SEARCH($B$2,#REF!))</formula>
    </cfRule>
  </conditionalFormatting>
  <conditionalFormatting sqref="C45">
    <cfRule type="expression" dxfId="202" priority="6">
      <formula>ISNUMBER(SEARCH($B$2,#REF!))</formula>
    </cfRule>
  </conditionalFormatting>
  <conditionalFormatting sqref="C33">
    <cfRule type="expression" dxfId="201" priority="5">
      <formula>ISNUMBER(SEARCH($B$2,#REF!))</formula>
    </cfRule>
  </conditionalFormatting>
  <conditionalFormatting sqref="C69">
    <cfRule type="expression" dxfId="200" priority="3">
      <formula>ISNUMBER(SEARCH($B$2,C64))</formula>
    </cfRule>
  </conditionalFormatting>
  <conditionalFormatting sqref="C70">
    <cfRule type="expression" dxfId="199" priority="2">
      <formula>ISNUMBER(SEARCH($B$2,C65))</formula>
    </cfRule>
  </conditionalFormatting>
  <conditionalFormatting sqref="C71">
    <cfRule type="expression" dxfId="198" priority="1">
      <formula>ISNUMBER(SEARCH($B$2,C66))</formula>
    </cfRule>
  </conditionalFormatting>
  <printOptions horizontalCentered="1"/>
  <pageMargins left="0" right="0" top="0.75" bottom="0.75" header="0" footer="0"/>
  <pageSetup scale="75" orientation="portrait" r:id="rId1"/>
  <rowBreaks count="1" manualBreakCount="1">
    <brk id="57" max="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K61"/>
  <sheetViews>
    <sheetView topLeftCell="A33" zoomScaleNormal="100" workbookViewId="0">
      <selection activeCell="G63" sqref="G63"/>
    </sheetView>
  </sheetViews>
  <sheetFormatPr defaultRowHeight="15" x14ac:dyDescent="0.25"/>
  <cols>
    <col min="1" max="1" width="2.85546875" style="36" customWidth="1"/>
    <col min="2" max="2" width="44.28515625" style="36" customWidth="1"/>
    <col min="3" max="3" width="13.42578125" style="36" customWidth="1"/>
    <col min="4" max="4" width="13.42578125" style="113" customWidth="1"/>
    <col min="5" max="5" width="13.42578125" style="113" hidden="1" customWidth="1"/>
    <col min="6" max="6" width="13.28515625" style="36" customWidth="1"/>
    <col min="7" max="8" width="13.42578125" style="36" customWidth="1"/>
    <col min="9" max="9" width="13.42578125" style="41" customWidth="1"/>
    <col min="10" max="10" width="14.7109375" style="36" customWidth="1"/>
    <col min="11" max="11" width="14.140625" style="36" bestFit="1" customWidth="1"/>
    <col min="12" max="16384" width="9.140625" style="36"/>
  </cols>
  <sheetData>
    <row r="1" spans="1:10" ht="15.75" x14ac:dyDescent="0.25">
      <c r="A1" s="114" t="s">
        <v>9</v>
      </c>
      <c r="B1" s="114"/>
      <c r="C1" s="114"/>
      <c r="D1" s="117"/>
      <c r="E1" s="117"/>
      <c r="F1" s="114"/>
      <c r="G1" s="114"/>
      <c r="H1" s="114"/>
      <c r="I1" s="118" t="s">
        <v>27</v>
      </c>
    </row>
    <row r="2" spans="1:10" ht="15.75" x14ac:dyDescent="0.25">
      <c r="B2" s="114"/>
      <c r="C2" s="114"/>
      <c r="D2" s="117"/>
      <c r="E2" s="117"/>
      <c r="F2" s="114"/>
      <c r="G2" s="114"/>
      <c r="H2" s="114"/>
      <c r="I2" s="118"/>
    </row>
    <row r="3" spans="1:10" ht="15" customHeight="1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  <c r="I3" s="1069"/>
    </row>
    <row r="4" spans="1:10" ht="15.75" x14ac:dyDescent="0.25">
      <c r="A4" s="1069" t="s">
        <v>47</v>
      </c>
      <c r="B4" s="1069"/>
      <c r="C4" s="1069"/>
      <c r="D4" s="1069"/>
      <c r="E4" s="1069"/>
      <c r="F4" s="1069"/>
      <c r="G4" s="1069"/>
      <c r="H4" s="1069"/>
      <c r="I4" s="1069"/>
    </row>
    <row r="5" spans="1:10" ht="15" customHeight="1" x14ac:dyDescent="0.25">
      <c r="B5" s="116"/>
      <c r="C5" s="114"/>
      <c r="D5" s="117"/>
      <c r="E5" s="117"/>
      <c r="F5" s="114"/>
      <c r="G5" s="114"/>
      <c r="H5" s="114"/>
      <c r="I5" s="118"/>
    </row>
    <row r="6" spans="1:10" ht="15" customHeight="1" x14ac:dyDescent="0.25">
      <c r="A6" s="116" t="s">
        <v>218</v>
      </c>
      <c r="B6" s="116"/>
      <c r="C6" s="114"/>
      <c r="D6" s="117"/>
      <c r="E6" s="117"/>
      <c r="F6" s="114"/>
      <c r="G6" s="114"/>
      <c r="H6" s="114"/>
      <c r="I6" s="118"/>
    </row>
    <row r="7" spans="1:10" ht="15" customHeight="1" x14ac:dyDescent="0.25">
      <c r="A7" s="114" t="s">
        <v>112</v>
      </c>
      <c r="B7" s="114"/>
      <c r="C7" s="114"/>
      <c r="D7" s="117"/>
      <c r="E7" s="117"/>
      <c r="F7" s="114"/>
      <c r="G7" s="114"/>
      <c r="H7" s="114"/>
      <c r="I7" s="118"/>
    </row>
    <row r="8" spans="1:10" ht="15" customHeight="1" x14ac:dyDescent="0.25">
      <c r="A8" s="114" t="s">
        <v>267</v>
      </c>
      <c r="B8" s="114"/>
      <c r="C8" s="114"/>
      <c r="D8" s="117"/>
      <c r="E8" s="117"/>
      <c r="F8" s="114"/>
      <c r="G8" s="114"/>
      <c r="H8" s="114"/>
      <c r="I8" s="118"/>
    </row>
    <row r="9" spans="1:10" ht="15" customHeight="1" x14ac:dyDescent="0.25">
      <c r="B9" s="114"/>
      <c r="C9" s="114"/>
      <c r="D9" s="117"/>
      <c r="E9" s="117"/>
      <c r="F9" s="114"/>
      <c r="G9" s="114"/>
      <c r="H9" s="114"/>
      <c r="I9" s="118"/>
    </row>
    <row r="10" spans="1:10" x14ac:dyDescent="0.25">
      <c r="A10" s="1075" t="s">
        <v>0</v>
      </c>
      <c r="B10" s="1071"/>
      <c r="C10" s="1073" t="s">
        <v>1</v>
      </c>
      <c r="D10" s="212" t="s">
        <v>2</v>
      </c>
      <c r="E10" s="1082" t="s">
        <v>105</v>
      </c>
      <c r="F10" s="1075" t="s">
        <v>8</v>
      </c>
      <c r="G10" s="1076"/>
      <c r="H10" s="1071"/>
      <c r="I10" s="212" t="s">
        <v>3</v>
      </c>
    </row>
    <row r="11" spans="1:10" ht="45" x14ac:dyDescent="0.25">
      <c r="A11" s="1096"/>
      <c r="B11" s="1072"/>
      <c r="C11" s="1074"/>
      <c r="D11" s="213" t="s">
        <v>4</v>
      </c>
      <c r="E11" s="1083"/>
      <c r="F11" s="209" t="s">
        <v>33</v>
      </c>
      <c r="G11" s="209" t="s">
        <v>34</v>
      </c>
      <c r="H11" s="127" t="s">
        <v>5</v>
      </c>
      <c r="I11" s="213" t="s">
        <v>6</v>
      </c>
    </row>
    <row r="12" spans="1:10" x14ac:dyDescent="0.25">
      <c r="A12" s="124"/>
      <c r="B12" s="425"/>
      <c r="C12" s="129"/>
      <c r="D12" s="213"/>
      <c r="E12" s="1083"/>
      <c r="F12" s="129" t="s">
        <v>4</v>
      </c>
      <c r="G12" s="129" t="s">
        <v>7</v>
      </c>
      <c r="H12" s="129"/>
      <c r="I12" s="213"/>
    </row>
    <row r="13" spans="1:10" x14ac:dyDescent="0.25">
      <c r="A13" s="124"/>
      <c r="B13" s="425"/>
      <c r="C13" s="129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10" x14ac:dyDescent="0.25">
      <c r="A14" s="131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10" x14ac:dyDescent="0.25">
      <c r="A15" s="476" t="s">
        <v>11</v>
      </c>
      <c r="B15" s="476"/>
      <c r="C15" s="129"/>
      <c r="D15" s="477"/>
      <c r="E15" s="477"/>
      <c r="F15" s="129"/>
      <c r="G15" s="129"/>
      <c r="H15" s="129"/>
      <c r="I15" s="213"/>
    </row>
    <row r="16" spans="1:10" x14ac:dyDescent="0.25">
      <c r="A16" s="54"/>
      <c r="B16" s="478" t="s">
        <v>219</v>
      </c>
      <c r="C16" s="47" t="s">
        <v>73</v>
      </c>
      <c r="D16" s="479">
        <v>5027525.16</v>
      </c>
      <c r="E16" s="479">
        <v>7735236</v>
      </c>
      <c r="F16" s="479">
        <v>3080618</v>
      </c>
      <c r="G16" s="480">
        <f>H16-F16</f>
        <v>3733432.3200000003</v>
      </c>
      <c r="H16" s="479">
        <v>6814050.3200000003</v>
      </c>
      <c r="I16" s="481">
        <f>'[1]SB(L)'!$L$52</f>
        <v>8938188</v>
      </c>
      <c r="J16" s="139"/>
    </row>
    <row r="17" spans="1:11" x14ac:dyDescent="0.25">
      <c r="A17" s="54"/>
      <c r="B17" s="478" t="s">
        <v>220</v>
      </c>
      <c r="C17" s="47" t="s">
        <v>86</v>
      </c>
      <c r="D17" s="479">
        <v>399210</v>
      </c>
      <c r="E17" s="479">
        <v>150000</v>
      </c>
      <c r="F17" s="479">
        <v>153850</v>
      </c>
      <c r="G17" s="480">
        <f t="shared" ref="G17:G30" si="0">H17-F17</f>
        <v>140358</v>
      </c>
      <c r="H17" s="479">
        <v>294208</v>
      </c>
      <c r="I17" s="481">
        <f>'[1]SB(L)'!$M$52</f>
        <v>150000</v>
      </c>
      <c r="J17" s="139"/>
    </row>
    <row r="18" spans="1:11" x14ac:dyDescent="0.25">
      <c r="A18" s="54"/>
      <c r="B18" s="482" t="s">
        <v>221</v>
      </c>
      <c r="C18" s="483" t="s">
        <v>74</v>
      </c>
      <c r="D18" s="479">
        <v>259727.27</v>
      </c>
      <c r="E18" s="479">
        <v>336000</v>
      </c>
      <c r="F18" s="479">
        <v>144000</v>
      </c>
      <c r="G18" s="480">
        <f t="shared" si="0"/>
        <v>157467.74</v>
      </c>
      <c r="H18" s="479">
        <v>301467.74</v>
      </c>
      <c r="I18" s="481">
        <f>'[1]SB(L)'!$N$52</f>
        <v>360000</v>
      </c>
      <c r="J18" s="139"/>
    </row>
    <row r="19" spans="1:11" x14ac:dyDescent="0.25">
      <c r="A19" s="54"/>
      <c r="B19" s="482" t="s">
        <v>224</v>
      </c>
      <c r="C19" s="483" t="s">
        <v>75</v>
      </c>
      <c r="D19" s="479">
        <v>751500</v>
      </c>
      <c r="E19" s="479">
        <v>751500</v>
      </c>
      <c r="F19" s="479">
        <v>308250</v>
      </c>
      <c r="G19" s="480">
        <f t="shared" si="0"/>
        <v>227250</v>
      </c>
      <c r="H19" s="479">
        <v>535500</v>
      </c>
      <c r="I19" s="481">
        <f>'[1]SB(L)'!$O$52</f>
        <v>751500</v>
      </c>
      <c r="J19" s="139"/>
    </row>
    <row r="20" spans="1:11" x14ac:dyDescent="0.25">
      <c r="A20" s="54"/>
      <c r="B20" s="482" t="s">
        <v>223</v>
      </c>
      <c r="C20" s="483" t="s">
        <v>76</v>
      </c>
      <c r="D20" s="479">
        <v>751500</v>
      </c>
      <c r="E20" s="479">
        <v>751500</v>
      </c>
      <c r="F20" s="479">
        <v>308250</v>
      </c>
      <c r="G20" s="480">
        <f t="shared" si="0"/>
        <v>227250</v>
      </c>
      <c r="H20" s="479">
        <v>535500</v>
      </c>
      <c r="I20" s="481">
        <f>'[1]SB(L)'!$P$52</f>
        <v>751500</v>
      </c>
      <c r="J20" s="139"/>
    </row>
    <row r="21" spans="1:11" x14ac:dyDescent="0.25">
      <c r="A21" s="54"/>
      <c r="B21" s="482" t="s">
        <v>222</v>
      </c>
      <c r="C21" s="483" t="s">
        <v>77</v>
      </c>
      <c r="D21" s="479">
        <v>55000</v>
      </c>
      <c r="E21" s="479">
        <v>70000</v>
      </c>
      <c r="F21" s="479">
        <v>11000</v>
      </c>
      <c r="G21" s="480">
        <f t="shared" si="0"/>
        <v>59000</v>
      </c>
      <c r="H21" s="479">
        <v>70000</v>
      </c>
      <c r="I21" s="481">
        <f>'[1]SB(L)'!$Q$52</f>
        <v>90000</v>
      </c>
      <c r="J21" s="139"/>
    </row>
    <row r="22" spans="1:11" x14ac:dyDescent="0.25">
      <c r="A22" s="54"/>
      <c r="B22" s="482" t="s">
        <v>225</v>
      </c>
      <c r="C22" s="483" t="s">
        <v>78</v>
      </c>
      <c r="D22" s="479">
        <v>55000</v>
      </c>
      <c r="E22" s="240">
        <v>70003</v>
      </c>
      <c r="F22" s="479"/>
      <c r="G22" s="480">
        <f t="shared" si="0"/>
        <v>65000</v>
      </c>
      <c r="H22" s="479">
        <v>65000</v>
      </c>
      <c r="I22" s="484">
        <f>'[1]SB(L)'!$R$52</f>
        <v>75000</v>
      </c>
      <c r="J22" s="139"/>
    </row>
    <row r="23" spans="1:11" x14ac:dyDescent="0.25">
      <c r="A23" s="54"/>
      <c r="B23" s="482" t="s">
        <v>226</v>
      </c>
      <c r="C23" s="483" t="s">
        <v>80</v>
      </c>
      <c r="D23" s="479">
        <f>463513+511825</f>
        <v>975338</v>
      </c>
      <c r="E23" s="479">
        <f>644603+639603</f>
        <v>1284206</v>
      </c>
      <c r="F23" s="479">
        <v>534655</v>
      </c>
      <c r="G23" s="480">
        <f>H23-F23</f>
        <v>574603</v>
      </c>
      <c r="H23" s="479">
        <v>1109258</v>
      </c>
      <c r="I23" s="481">
        <f>'[1]SB(L)'!$S$52</f>
        <v>1489698</v>
      </c>
      <c r="J23" s="139"/>
      <c r="K23" s="533"/>
    </row>
    <row r="24" spans="1:11" x14ac:dyDescent="0.25">
      <c r="A24" s="54"/>
      <c r="B24" s="482" t="s">
        <v>227</v>
      </c>
      <c r="C24" s="483" t="s">
        <v>79</v>
      </c>
      <c r="D24" s="479">
        <v>55000</v>
      </c>
      <c r="E24" s="479">
        <v>75000</v>
      </c>
      <c r="F24" s="479"/>
      <c r="G24" s="480">
        <f t="shared" si="0"/>
        <v>66033.8</v>
      </c>
      <c r="H24" s="479">
        <v>66033.8</v>
      </c>
      <c r="I24" s="481">
        <f>'[1]SB(L)'!$T$52</f>
        <v>75000</v>
      </c>
      <c r="J24" s="139"/>
    </row>
    <row r="25" spans="1:11" x14ac:dyDescent="0.25">
      <c r="A25" s="54"/>
      <c r="B25" s="482" t="s">
        <v>228</v>
      </c>
      <c r="C25" s="483" t="s">
        <v>81</v>
      </c>
      <c r="D25" s="479">
        <v>486716.62</v>
      </c>
      <c r="E25" s="479">
        <v>928228.32</v>
      </c>
      <c r="F25" s="479">
        <v>369674.16</v>
      </c>
      <c r="G25" s="480">
        <f t="shared" si="0"/>
        <v>442641.76000000007</v>
      </c>
      <c r="H25" s="479">
        <v>812315.92</v>
      </c>
      <c r="I25" s="481">
        <f>'[1]SB(L)'!$U$52</f>
        <v>1072582.5599999998</v>
      </c>
      <c r="J25" s="139"/>
      <c r="K25" s="139"/>
    </row>
    <row r="26" spans="1:11" x14ac:dyDescent="0.25">
      <c r="A26" s="54"/>
      <c r="B26" s="482" t="s">
        <v>229</v>
      </c>
      <c r="C26" s="483" t="s">
        <v>82</v>
      </c>
      <c r="D26" s="479">
        <v>9500</v>
      </c>
      <c r="E26" s="479">
        <v>16800</v>
      </c>
      <c r="F26" s="479">
        <v>7200</v>
      </c>
      <c r="G26" s="480">
        <f t="shared" si="0"/>
        <v>8100</v>
      </c>
      <c r="H26" s="479">
        <v>15300</v>
      </c>
      <c r="I26" s="481">
        <f>'[1]SB(L)'!$V$52</f>
        <v>18000</v>
      </c>
      <c r="J26" s="139"/>
    </row>
    <row r="27" spans="1:11" x14ac:dyDescent="0.25">
      <c r="A27" s="54"/>
      <c r="B27" s="482" t="s">
        <v>230</v>
      </c>
      <c r="C27" s="483" t="s">
        <v>83</v>
      </c>
      <c r="D27" s="479">
        <v>53887.5</v>
      </c>
      <c r="E27" s="479">
        <v>61650</v>
      </c>
      <c r="F27" s="479">
        <v>32249.64</v>
      </c>
      <c r="G27" s="480">
        <f t="shared" si="0"/>
        <v>35706.820000000007</v>
      </c>
      <c r="H27" s="479">
        <v>67956.460000000006</v>
      </c>
      <c r="I27" s="481">
        <f>'[1]SB(L)'!$W$52</f>
        <v>79502.114999999976</v>
      </c>
      <c r="J27" s="139"/>
    </row>
    <row r="28" spans="1:11" x14ac:dyDescent="0.25">
      <c r="A28" s="54"/>
      <c r="B28" s="485" t="s">
        <v>231</v>
      </c>
      <c r="C28" s="483" t="s">
        <v>84</v>
      </c>
      <c r="D28" s="479">
        <v>9501.4500000000007</v>
      </c>
      <c r="E28" s="479">
        <v>77352.36</v>
      </c>
      <c r="F28" s="479">
        <v>7006.76</v>
      </c>
      <c r="G28" s="480">
        <f t="shared" si="0"/>
        <v>7928.4</v>
      </c>
      <c r="H28" s="479">
        <v>14935.16</v>
      </c>
      <c r="I28" s="481">
        <f>'[1]SB(L)'!$X$52</f>
        <v>89381.87999999999</v>
      </c>
      <c r="J28" s="139"/>
    </row>
    <row r="29" spans="1:11" x14ac:dyDescent="0.25">
      <c r="A29" s="54"/>
      <c r="B29" s="482" t="s">
        <v>232</v>
      </c>
      <c r="C29" s="483" t="s">
        <v>87</v>
      </c>
      <c r="D29" s="240"/>
      <c r="E29" s="240">
        <v>107033.16</v>
      </c>
      <c r="F29" s="240"/>
      <c r="G29" s="480">
        <f>H29-F29</f>
        <v>92287.3</v>
      </c>
      <c r="H29" s="240">
        <v>92287.3</v>
      </c>
      <c r="I29" s="484">
        <f>'[1]SB(L)'!$Y$52</f>
        <v>300000</v>
      </c>
      <c r="J29" s="139"/>
    </row>
    <row r="30" spans="1:11" x14ac:dyDescent="0.25">
      <c r="A30" s="136"/>
      <c r="B30" s="486" t="s">
        <v>233</v>
      </c>
      <c r="C30" s="487" t="s">
        <v>85</v>
      </c>
      <c r="D30" s="488">
        <v>307061.71999999997</v>
      </c>
      <c r="E30" s="488">
        <v>621303.18000000005</v>
      </c>
      <c r="F30" s="488">
        <v>593097.91</v>
      </c>
      <c r="G30" s="489">
        <f t="shared" si="0"/>
        <v>33000</v>
      </c>
      <c r="H30" s="488">
        <v>626097.91</v>
      </c>
      <c r="I30" s="490">
        <f>'[1]SB(L)'!$Z$52</f>
        <v>717925.68804599997</v>
      </c>
      <c r="J30" s="139"/>
    </row>
    <row r="31" spans="1:11" s="495" customFormat="1" ht="15" customHeight="1" x14ac:dyDescent="0.2">
      <c r="A31" s="1094" t="s">
        <v>71</v>
      </c>
      <c r="B31" s="1095"/>
      <c r="C31" s="491"/>
      <c r="D31" s="492">
        <f t="shared" ref="D31:I31" si="1">SUM(D16:D30)</f>
        <v>9196467.7199999988</v>
      </c>
      <c r="E31" s="492">
        <f t="shared" si="1"/>
        <v>13035812.02</v>
      </c>
      <c r="F31" s="493">
        <f t="shared" si="1"/>
        <v>5549851.4699999997</v>
      </c>
      <c r="G31" s="493">
        <f t="shared" si="1"/>
        <v>5870059.1400000006</v>
      </c>
      <c r="H31" s="493">
        <f t="shared" si="1"/>
        <v>11419910.610000003</v>
      </c>
      <c r="I31" s="492">
        <f t="shared" si="1"/>
        <v>14958278.243046001</v>
      </c>
      <c r="J31" s="494"/>
      <c r="K31" s="494"/>
    </row>
    <row r="32" spans="1:11" x14ac:dyDescent="0.25">
      <c r="A32" s="141" t="s">
        <v>14</v>
      </c>
      <c r="B32" s="150"/>
      <c r="C32" s="394"/>
      <c r="D32" s="496"/>
      <c r="E32" s="496"/>
      <c r="F32" s="394"/>
      <c r="G32" s="394"/>
      <c r="H32" s="394"/>
      <c r="I32" s="130"/>
    </row>
    <row r="33" spans="1:11" x14ac:dyDescent="0.25">
      <c r="A33" s="54"/>
      <c r="B33" s="105" t="s">
        <v>234</v>
      </c>
      <c r="C33" s="89" t="s">
        <v>92</v>
      </c>
      <c r="D33" s="192">
        <v>1302996.48</v>
      </c>
      <c r="E33" s="497">
        <v>300000</v>
      </c>
      <c r="F33" s="193">
        <v>282925</v>
      </c>
      <c r="G33" s="84">
        <f t="shared" ref="G33:G46" si="2">H33-F33</f>
        <v>417675.01</v>
      </c>
      <c r="H33" s="86">
        <v>700600.01</v>
      </c>
      <c r="I33" s="497">
        <v>300000</v>
      </c>
      <c r="J33" s="139"/>
    </row>
    <row r="34" spans="1:11" x14ac:dyDescent="0.25">
      <c r="A34" s="54"/>
      <c r="B34" s="105" t="s">
        <v>235</v>
      </c>
      <c r="C34" s="89" t="s">
        <v>93</v>
      </c>
      <c r="D34" s="192">
        <v>53320</v>
      </c>
      <c r="E34" s="497">
        <v>200000</v>
      </c>
      <c r="F34" s="193">
        <v>196396.43</v>
      </c>
      <c r="G34" s="84">
        <f t="shared" si="2"/>
        <v>165570</v>
      </c>
      <c r="H34" s="86">
        <v>361966.43</v>
      </c>
      <c r="I34" s="497">
        <v>200000</v>
      </c>
      <c r="J34" s="139"/>
    </row>
    <row r="35" spans="1:11" x14ac:dyDescent="0.25">
      <c r="A35" s="54"/>
      <c r="B35" s="105" t="s">
        <v>236</v>
      </c>
      <c r="C35" s="89" t="s">
        <v>94</v>
      </c>
      <c r="D35" s="192">
        <v>39177.75</v>
      </c>
      <c r="E35" s="497">
        <v>50000</v>
      </c>
      <c r="F35" s="193">
        <v>10764.76</v>
      </c>
      <c r="G35" s="84">
        <f t="shared" si="2"/>
        <v>32167.409999999996</v>
      </c>
      <c r="H35" s="86">
        <v>42932.17</v>
      </c>
      <c r="I35" s="497">
        <v>50000</v>
      </c>
      <c r="J35" s="139"/>
    </row>
    <row r="36" spans="1:11" x14ac:dyDescent="0.25">
      <c r="A36" s="54"/>
      <c r="B36" s="172" t="s">
        <v>268</v>
      </c>
      <c r="C36" s="89" t="s">
        <v>98</v>
      </c>
      <c r="D36" s="198">
        <v>48548.75</v>
      </c>
      <c r="E36" s="497">
        <v>150000</v>
      </c>
      <c r="F36" s="193">
        <v>4579.2</v>
      </c>
      <c r="G36" s="84">
        <f t="shared" si="2"/>
        <v>97547.540000000008</v>
      </c>
      <c r="H36" s="86">
        <v>102126.74</v>
      </c>
      <c r="I36" s="497">
        <v>150000</v>
      </c>
      <c r="J36" s="139"/>
    </row>
    <row r="37" spans="1:11" x14ac:dyDescent="0.25">
      <c r="A37" s="54"/>
      <c r="B37" s="105" t="s">
        <v>237</v>
      </c>
      <c r="C37" s="89" t="s">
        <v>95</v>
      </c>
      <c r="D37" s="192">
        <v>48832.33</v>
      </c>
      <c r="E37" s="497">
        <f>20000*9</f>
        <v>180000</v>
      </c>
      <c r="F37" s="193">
        <v>64000</v>
      </c>
      <c r="G37" s="84">
        <f t="shared" si="2"/>
        <v>138000</v>
      </c>
      <c r="H37" s="86">
        <v>202000</v>
      </c>
      <c r="I37" s="497">
        <v>264000</v>
      </c>
      <c r="J37" s="139"/>
    </row>
    <row r="38" spans="1:11" x14ac:dyDescent="0.25">
      <c r="A38" s="54"/>
      <c r="B38" s="105" t="s">
        <v>238</v>
      </c>
      <c r="C38" s="89" t="s">
        <v>118</v>
      </c>
      <c r="D38" s="192"/>
      <c r="E38" s="497"/>
      <c r="F38" s="193"/>
      <c r="G38" s="84">
        <f t="shared" si="2"/>
        <v>0</v>
      </c>
      <c r="H38" s="86"/>
      <c r="I38" s="497"/>
      <c r="J38" s="139"/>
    </row>
    <row r="39" spans="1:11" x14ac:dyDescent="0.25">
      <c r="A39" s="54"/>
      <c r="B39" s="172" t="s">
        <v>269</v>
      </c>
      <c r="C39" s="89" t="s">
        <v>96</v>
      </c>
      <c r="D39" s="192">
        <v>222460</v>
      </c>
      <c r="E39" s="498"/>
      <c r="F39" s="193"/>
      <c r="G39" s="84">
        <f t="shared" si="2"/>
        <v>0</v>
      </c>
      <c r="H39" s="86"/>
      <c r="I39" s="498"/>
      <c r="J39" s="139"/>
    </row>
    <row r="40" spans="1:11" x14ac:dyDescent="0.25">
      <c r="A40" s="54"/>
      <c r="B40" s="105" t="s">
        <v>240</v>
      </c>
      <c r="C40" s="89" t="s">
        <v>99</v>
      </c>
      <c r="D40" s="192">
        <v>5381.5</v>
      </c>
      <c r="E40" s="497">
        <v>23600</v>
      </c>
      <c r="F40" s="193"/>
      <c r="G40" s="84">
        <f t="shared" si="2"/>
        <v>4800</v>
      </c>
      <c r="H40" s="86">
        <v>4800</v>
      </c>
      <c r="I40" s="497">
        <v>10000</v>
      </c>
      <c r="J40" s="139"/>
    </row>
    <row r="41" spans="1:11" x14ac:dyDescent="0.25">
      <c r="A41" s="54"/>
      <c r="B41" s="107" t="s">
        <v>270</v>
      </c>
      <c r="C41" s="89" t="s">
        <v>102</v>
      </c>
      <c r="D41" s="192">
        <v>32000</v>
      </c>
      <c r="E41" s="497">
        <v>50000</v>
      </c>
      <c r="F41" s="193">
        <v>6500</v>
      </c>
      <c r="G41" s="84">
        <f t="shared" si="2"/>
        <v>41520</v>
      </c>
      <c r="H41" s="86">
        <v>48020</v>
      </c>
      <c r="I41" s="497">
        <v>50000</v>
      </c>
      <c r="J41" s="139"/>
    </row>
    <row r="42" spans="1:11" x14ac:dyDescent="0.25">
      <c r="A42" s="54"/>
      <c r="B42" s="172" t="s">
        <v>271</v>
      </c>
      <c r="C42" s="89" t="s">
        <v>102</v>
      </c>
      <c r="D42" s="198">
        <v>50000</v>
      </c>
      <c r="E42" s="497">
        <v>50000</v>
      </c>
      <c r="F42" s="193"/>
      <c r="G42" s="84">
        <f t="shared" si="2"/>
        <v>50000</v>
      </c>
      <c r="H42" s="86">
        <v>50000</v>
      </c>
      <c r="I42" s="497">
        <v>50000</v>
      </c>
      <c r="J42" s="139"/>
    </row>
    <row r="43" spans="1:11" x14ac:dyDescent="0.25">
      <c r="A43" s="54"/>
      <c r="B43" s="105" t="s">
        <v>257</v>
      </c>
      <c r="C43" s="89" t="s">
        <v>106</v>
      </c>
      <c r="D43" s="499"/>
      <c r="E43" s="497"/>
      <c r="F43" s="193"/>
      <c r="G43" s="84">
        <f t="shared" si="2"/>
        <v>0</v>
      </c>
      <c r="H43" s="86"/>
      <c r="I43" s="497"/>
      <c r="J43" s="139"/>
    </row>
    <row r="44" spans="1:11" x14ac:dyDescent="0.25">
      <c r="A44" s="54"/>
      <c r="B44" s="172" t="s">
        <v>272</v>
      </c>
      <c r="C44" s="89" t="s">
        <v>103</v>
      </c>
      <c r="D44" s="192">
        <v>40000</v>
      </c>
      <c r="E44" s="497">
        <v>50000</v>
      </c>
      <c r="F44" s="193"/>
      <c r="G44" s="84">
        <f t="shared" si="2"/>
        <v>40000</v>
      </c>
      <c r="H44" s="86">
        <v>40000</v>
      </c>
      <c r="I44" s="497">
        <v>60000</v>
      </c>
      <c r="J44" s="139"/>
    </row>
    <row r="45" spans="1:11" x14ac:dyDescent="0.25">
      <c r="A45" s="54"/>
      <c r="B45" s="105" t="s">
        <v>273</v>
      </c>
      <c r="C45" s="89" t="s">
        <v>103</v>
      </c>
      <c r="D45" s="192">
        <v>25000</v>
      </c>
      <c r="E45" s="497">
        <v>25000</v>
      </c>
      <c r="F45" s="500"/>
      <c r="G45" s="84">
        <f t="shared" si="2"/>
        <v>25000</v>
      </c>
      <c r="H45" s="86">
        <v>25000</v>
      </c>
      <c r="I45" s="497">
        <v>35000</v>
      </c>
      <c r="J45" s="139"/>
    </row>
    <row r="46" spans="1:11" x14ac:dyDescent="0.25">
      <c r="A46" s="136"/>
      <c r="B46" s="501" t="s">
        <v>259</v>
      </c>
      <c r="C46" s="502" t="s">
        <v>97</v>
      </c>
      <c r="D46" s="195"/>
      <c r="E46" s="503">
        <v>233400</v>
      </c>
      <c r="F46" s="504"/>
      <c r="G46" s="87">
        <f t="shared" si="2"/>
        <v>124730</v>
      </c>
      <c r="H46" s="197">
        <v>124730</v>
      </c>
      <c r="I46" s="503">
        <f>150000-7000</f>
        <v>143000</v>
      </c>
      <c r="J46" s="139"/>
    </row>
    <row r="47" spans="1:11" s="495" customFormat="1" ht="15" customHeight="1" x14ac:dyDescent="0.2">
      <c r="A47" s="505" t="s">
        <v>68</v>
      </c>
      <c r="B47" s="506"/>
      <c r="C47" s="507"/>
      <c r="D47" s="492">
        <f>SUM(D33:D46)</f>
        <v>1867716.81</v>
      </c>
      <c r="E47" s="492">
        <f t="shared" ref="E47:H47" si="3">SUM(E33:E46)</f>
        <v>1312000</v>
      </c>
      <c r="F47" s="492">
        <f t="shared" si="3"/>
        <v>565165.39</v>
      </c>
      <c r="G47" s="492">
        <f t="shared" si="3"/>
        <v>1137009.96</v>
      </c>
      <c r="H47" s="492">
        <f t="shared" si="3"/>
        <v>1702175.3499999999</v>
      </c>
      <c r="I47" s="492">
        <f>SUM(I33:I46)</f>
        <v>1312000</v>
      </c>
      <c r="J47" s="508"/>
      <c r="K47" s="509"/>
    </row>
    <row r="48" spans="1:11" x14ac:dyDescent="0.25">
      <c r="A48" s="141" t="s">
        <v>26</v>
      </c>
      <c r="B48" s="510"/>
      <c r="C48" s="140"/>
      <c r="D48" s="147"/>
      <c r="E48" s="147"/>
      <c r="F48" s="148"/>
      <c r="G48" s="148"/>
      <c r="H48" s="148"/>
      <c r="I48" s="147"/>
    </row>
    <row r="49" spans="1:11" x14ac:dyDescent="0.25">
      <c r="A49" s="136"/>
      <c r="B49" s="511" t="s">
        <v>243</v>
      </c>
      <c r="C49" s="512" t="s">
        <v>110</v>
      </c>
      <c r="D49" s="513"/>
      <c r="E49" s="513"/>
      <c r="F49" s="514"/>
      <c r="G49" s="514"/>
      <c r="H49" s="514"/>
      <c r="I49" s="515">
        <v>100000</v>
      </c>
    </row>
    <row r="50" spans="1:11" x14ac:dyDescent="0.25">
      <c r="A50" s="516"/>
      <c r="B50" s="517" t="s">
        <v>244</v>
      </c>
      <c r="C50" s="518" t="s">
        <v>108</v>
      </c>
      <c r="D50" s="519"/>
      <c r="E50" s="519"/>
      <c r="F50" s="520"/>
      <c r="G50" s="520"/>
      <c r="H50" s="520"/>
      <c r="I50" s="521"/>
    </row>
    <row r="51" spans="1:11" x14ac:dyDescent="0.25">
      <c r="A51" s="516"/>
      <c r="B51" s="517" t="s">
        <v>274</v>
      </c>
      <c r="C51" s="522" t="s">
        <v>109</v>
      </c>
      <c r="D51" s="523"/>
      <c r="E51" s="523">
        <v>1900000</v>
      </c>
      <c r="F51" s="524"/>
      <c r="G51" s="524"/>
      <c r="H51" s="524"/>
      <c r="I51" s="525"/>
    </row>
    <row r="52" spans="1:11" x14ac:dyDescent="0.25">
      <c r="A52" s="516"/>
      <c r="B52" s="517" t="s">
        <v>245</v>
      </c>
      <c r="C52" s="518" t="s">
        <v>107</v>
      </c>
      <c r="D52" s="523">
        <v>240275.02</v>
      </c>
      <c r="E52" s="523"/>
      <c r="F52" s="524"/>
      <c r="G52" s="524"/>
      <c r="H52" s="524"/>
      <c r="I52" s="525">
        <v>15000</v>
      </c>
    </row>
    <row r="53" spans="1:11" x14ac:dyDescent="0.25">
      <c r="A53" s="1098" t="s">
        <v>72</v>
      </c>
      <c r="B53" s="1099"/>
      <c r="C53" s="142"/>
      <c r="D53" s="143">
        <f>SUM(D49:D52)</f>
        <v>240275.02</v>
      </c>
      <c r="E53" s="143">
        <f t="shared" ref="E53:I53" si="4">SUM(E49:E52)</f>
        <v>1900000</v>
      </c>
      <c r="F53" s="143">
        <f t="shared" si="4"/>
        <v>0</v>
      </c>
      <c r="G53" s="143">
        <f t="shared" si="4"/>
        <v>0</v>
      </c>
      <c r="H53" s="143">
        <f t="shared" si="4"/>
        <v>0</v>
      </c>
      <c r="I53" s="143">
        <f t="shared" si="4"/>
        <v>115000</v>
      </c>
    </row>
    <row r="54" spans="1:11" x14ac:dyDescent="0.25">
      <c r="A54" s="526" t="s">
        <v>20</v>
      </c>
      <c r="B54" s="527"/>
      <c r="C54" s="204"/>
      <c r="D54" s="528">
        <f t="shared" ref="D54:I54" si="5">D31+D47+D53</f>
        <v>11304459.549999999</v>
      </c>
      <c r="E54" s="528">
        <f t="shared" si="5"/>
        <v>16247812.02</v>
      </c>
      <c r="F54" s="528">
        <f t="shared" si="5"/>
        <v>6115016.8599999994</v>
      </c>
      <c r="G54" s="528">
        <f t="shared" si="5"/>
        <v>7007069.1000000006</v>
      </c>
      <c r="H54" s="528">
        <f>H31+H47+H53</f>
        <v>13122085.960000003</v>
      </c>
      <c r="I54" s="528">
        <f t="shared" si="5"/>
        <v>16385278.243046001</v>
      </c>
    </row>
    <row r="55" spans="1:11" ht="22.5" customHeight="1" x14ac:dyDescent="0.25">
      <c r="B55" s="150"/>
      <c r="C55" s="151"/>
      <c r="D55" s="152"/>
      <c r="E55" s="152"/>
      <c r="F55" s="149"/>
      <c r="G55" s="149"/>
      <c r="H55" s="149"/>
      <c r="I55" s="152"/>
      <c r="K55" s="149"/>
    </row>
    <row r="56" spans="1:11" s="114" customFormat="1" ht="16.5" customHeight="1" x14ac:dyDescent="0.25">
      <c r="B56" s="529" t="s">
        <v>22</v>
      </c>
      <c r="C56" s="114" t="s">
        <v>23</v>
      </c>
      <c r="E56" s="117"/>
      <c r="G56" s="114" t="s">
        <v>24</v>
      </c>
      <c r="I56" s="118"/>
      <c r="K56" s="115"/>
    </row>
    <row r="57" spans="1:11" ht="22.5" customHeight="1" x14ac:dyDescent="0.3">
      <c r="B57" s="530"/>
      <c r="D57" s="36"/>
      <c r="E57" s="531"/>
      <c r="F57" s="530"/>
      <c r="G57" s="530"/>
      <c r="H57" s="530"/>
      <c r="I57" s="532"/>
      <c r="K57" s="37"/>
    </row>
    <row r="58" spans="1:11" s="114" customFormat="1" ht="15.75" x14ac:dyDescent="0.25">
      <c r="B58" s="205" t="s">
        <v>111</v>
      </c>
      <c r="C58" s="1069" t="s">
        <v>51</v>
      </c>
      <c r="D58" s="1069"/>
      <c r="E58" s="1069"/>
      <c r="F58" s="1069"/>
      <c r="G58" s="1097" t="s">
        <v>117</v>
      </c>
      <c r="H58" s="1097"/>
      <c r="I58" s="1097"/>
      <c r="K58" s="115"/>
    </row>
    <row r="59" spans="1:11" x14ac:dyDescent="0.25">
      <c r="B59" s="206" t="s">
        <v>63</v>
      </c>
      <c r="C59" s="1070" t="s">
        <v>64</v>
      </c>
      <c r="D59" s="1070"/>
      <c r="E59" s="1070"/>
      <c r="F59" s="1070"/>
      <c r="G59" s="1070" t="s">
        <v>67</v>
      </c>
      <c r="H59" s="1070"/>
      <c r="I59" s="1070"/>
      <c r="K59" s="37"/>
    </row>
    <row r="60" spans="1:11" ht="21" x14ac:dyDescent="0.35">
      <c r="B60" s="119"/>
      <c r="C60" s="119"/>
      <c r="D60" s="120"/>
      <c r="E60" s="120"/>
      <c r="F60" s="119"/>
      <c r="G60" s="119"/>
      <c r="H60" s="119"/>
      <c r="I60" s="121"/>
    </row>
    <row r="61" spans="1:11" ht="21" x14ac:dyDescent="0.35">
      <c r="B61" s="119"/>
      <c r="C61" s="119"/>
      <c r="D61" s="120"/>
      <c r="E61" s="120"/>
      <c r="F61" s="119"/>
      <c r="G61" s="119"/>
      <c r="H61" s="119"/>
      <c r="I61" s="121"/>
    </row>
  </sheetData>
  <sheetProtection algorithmName="SHA-512" hashValue="AiJOTV0HphILnSISNICv0z0HIFvqC4TaYr5HlkrbCb/Tp3tk7Vdx93Dmps6QdmcRJM4u3tawHDcuOdhwniOmmA==" saltValue="OR+SOivPTuasQwk/h7tUgw==" spinCount="100000" sheet="1" objects="1" scenarios="1" selectLockedCells="1" selectUnlockedCells="1"/>
  <mergeCells count="12">
    <mergeCell ref="A3:I3"/>
    <mergeCell ref="A4:I4"/>
    <mergeCell ref="A31:B31"/>
    <mergeCell ref="A10:B11"/>
    <mergeCell ref="C58:F58"/>
    <mergeCell ref="G58:I58"/>
    <mergeCell ref="A53:B53"/>
    <mergeCell ref="C59:F59"/>
    <mergeCell ref="C10:C11"/>
    <mergeCell ref="F10:H10"/>
    <mergeCell ref="E10:E14"/>
    <mergeCell ref="G59:I59"/>
  </mergeCells>
  <printOptions horizontalCentered="1"/>
  <pageMargins left="0.4" right="0" top="0.75" bottom="0" header="0" footer="0"/>
  <pageSetup scale="70" orientation="portrait" r:id="rId1"/>
  <headerFooter>
    <oddHeader>&amp;R&amp;D    &amp;T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1:L63"/>
  <sheetViews>
    <sheetView topLeftCell="A31" zoomScaleNormal="100" workbookViewId="0">
      <selection activeCell="C53" sqref="C53"/>
    </sheetView>
  </sheetViews>
  <sheetFormatPr defaultRowHeight="15" x14ac:dyDescent="0.25"/>
  <cols>
    <col min="1" max="1" width="2.85546875" style="36" customWidth="1"/>
    <col min="2" max="2" width="44.28515625" style="36" customWidth="1"/>
    <col min="3" max="4" width="13.42578125" style="36" customWidth="1"/>
    <col min="5" max="5" width="13.42578125" style="36" hidden="1" customWidth="1"/>
    <col min="6" max="9" width="13.42578125" style="36" customWidth="1"/>
    <col min="10" max="10" width="16.140625" style="36" customWidth="1"/>
    <col min="11" max="12" width="11.5703125" style="36" bestFit="1" customWidth="1"/>
    <col min="13" max="16384" width="9.140625" style="36"/>
  </cols>
  <sheetData>
    <row r="1" spans="1:10" x14ac:dyDescent="0.25">
      <c r="A1" s="36" t="s">
        <v>9</v>
      </c>
      <c r="I1" s="159" t="s">
        <v>27</v>
      </c>
    </row>
    <row r="2" spans="1:10" ht="15.75" x14ac:dyDescent="0.25">
      <c r="B2" s="114"/>
      <c r="C2" s="114"/>
      <c r="D2" s="114"/>
      <c r="E2" s="114"/>
      <c r="F2" s="114"/>
      <c r="G2" s="114"/>
      <c r="H2" s="114"/>
      <c r="I2" s="114"/>
    </row>
    <row r="3" spans="1:10" ht="15.75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  <c r="I3" s="1069"/>
    </row>
    <row r="4" spans="1:10" ht="15" customHeight="1" x14ac:dyDescent="0.25">
      <c r="A4" s="1069" t="s">
        <v>48</v>
      </c>
      <c r="B4" s="1069"/>
      <c r="C4" s="1069"/>
      <c r="D4" s="1069"/>
      <c r="E4" s="1069"/>
      <c r="F4" s="1069"/>
      <c r="G4" s="1069"/>
      <c r="H4" s="1069"/>
      <c r="I4" s="1069"/>
    </row>
    <row r="5" spans="1:10" ht="15" customHeight="1" x14ac:dyDescent="0.25">
      <c r="B5" s="116"/>
      <c r="C5" s="114"/>
      <c r="D5" s="114"/>
      <c r="E5" s="114"/>
      <c r="F5" s="114"/>
      <c r="G5" s="114"/>
      <c r="H5" s="114"/>
      <c r="I5" s="114"/>
    </row>
    <row r="6" spans="1:10" ht="15.75" x14ac:dyDescent="0.25">
      <c r="A6" s="116" t="s">
        <v>119</v>
      </c>
      <c r="B6" s="116"/>
      <c r="C6" s="114"/>
      <c r="D6" s="114"/>
      <c r="E6" s="114"/>
      <c r="F6" s="114"/>
      <c r="G6" s="114"/>
      <c r="H6" s="114"/>
      <c r="I6" s="114"/>
    </row>
    <row r="7" spans="1:10" ht="15.75" x14ac:dyDescent="0.25">
      <c r="A7" s="114" t="s">
        <v>120</v>
      </c>
      <c r="B7" s="114"/>
      <c r="C7" s="114"/>
      <c r="D7" s="114"/>
      <c r="E7" s="114"/>
      <c r="F7" s="114"/>
      <c r="G7" s="114"/>
      <c r="H7" s="114"/>
      <c r="I7" s="114"/>
    </row>
    <row r="8" spans="1:10" ht="15.75" x14ac:dyDescent="0.25">
      <c r="A8" s="114" t="s">
        <v>113</v>
      </c>
      <c r="B8" s="114"/>
      <c r="C8" s="114"/>
      <c r="D8" s="114"/>
      <c r="E8" s="114"/>
      <c r="F8" s="114"/>
      <c r="G8" s="114"/>
      <c r="H8" s="114"/>
      <c r="I8" s="114"/>
    </row>
    <row r="10" spans="1:10" x14ac:dyDescent="0.25">
      <c r="A10" s="1075" t="s">
        <v>0</v>
      </c>
      <c r="B10" s="1076"/>
      <c r="C10" s="1104" t="s">
        <v>1</v>
      </c>
      <c r="D10" s="127" t="s">
        <v>2</v>
      </c>
      <c r="E10" s="1082" t="s">
        <v>105</v>
      </c>
      <c r="F10" s="1075" t="s">
        <v>8</v>
      </c>
      <c r="G10" s="1076"/>
      <c r="H10" s="1071"/>
      <c r="I10" s="127" t="s">
        <v>3</v>
      </c>
    </row>
    <row r="11" spans="1:10" ht="60.75" customHeight="1" x14ac:dyDescent="0.25">
      <c r="A11" s="1096"/>
      <c r="B11" s="1087"/>
      <c r="C11" s="1105"/>
      <c r="D11" s="129" t="s">
        <v>4</v>
      </c>
      <c r="E11" s="1083"/>
      <c r="F11" s="209" t="s">
        <v>31</v>
      </c>
      <c r="G11" s="209" t="s">
        <v>29</v>
      </c>
      <c r="H11" s="127" t="s">
        <v>5</v>
      </c>
      <c r="I11" s="129" t="s">
        <v>6</v>
      </c>
    </row>
    <row r="12" spans="1:10" ht="16.5" customHeight="1" x14ac:dyDescent="0.25">
      <c r="A12" s="124"/>
      <c r="B12" s="425"/>
      <c r="C12" s="208"/>
      <c r="D12" s="129"/>
      <c r="E12" s="1083"/>
      <c r="F12" s="129" t="s">
        <v>4</v>
      </c>
      <c r="G12" s="129" t="s">
        <v>7</v>
      </c>
      <c r="H12" s="129"/>
      <c r="I12" s="129"/>
    </row>
    <row r="13" spans="1:10" x14ac:dyDescent="0.25">
      <c r="A13" s="124"/>
      <c r="B13" s="425"/>
      <c r="C13" s="208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10" x14ac:dyDescent="0.25">
      <c r="A14" s="131"/>
      <c r="B14" s="426">
        <v>1</v>
      </c>
      <c r="C14" s="132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10" x14ac:dyDescent="0.25">
      <c r="A15" s="135" t="s">
        <v>11</v>
      </c>
      <c r="B15" s="534"/>
      <c r="C15" s="129"/>
      <c r="D15" s="129"/>
      <c r="E15" s="208"/>
      <c r="F15" s="129"/>
      <c r="G15" s="129"/>
      <c r="H15" s="129"/>
      <c r="I15" s="129"/>
    </row>
    <row r="16" spans="1:10" x14ac:dyDescent="0.25">
      <c r="A16" s="54"/>
      <c r="B16" s="105" t="s">
        <v>219</v>
      </c>
      <c r="C16" s="89" t="s">
        <v>73</v>
      </c>
      <c r="D16" s="192">
        <v>318744</v>
      </c>
      <c r="E16" s="535">
        <v>732096</v>
      </c>
      <c r="F16" s="320">
        <v>348850</v>
      </c>
      <c r="G16" s="84">
        <f>H16-F16</f>
        <v>383246</v>
      </c>
      <c r="H16" s="535">
        <v>732096</v>
      </c>
      <c r="I16" s="84">
        <f>'[1]SB(S)'!$L$20</f>
        <v>840732</v>
      </c>
      <c r="J16" s="139"/>
    </row>
    <row r="17" spans="1:12" x14ac:dyDescent="0.25">
      <c r="A17" s="54"/>
      <c r="B17" s="105" t="s">
        <v>220</v>
      </c>
      <c r="C17" s="89" t="s">
        <v>86</v>
      </c>
      <c r="D17" s="320">
        <v>105672.31</v>
      </c>
      <c r="E17" s="536">
        <v>54000</v>
      </c>
      <c r="F17" s="320">
        <v>15000</v>
      </c>
      <c r="G17" s="84">
        <f t="shared" ref="G17:G29" si="0">H17-F17</f>
        <v>30143.1</v>
      </c>
      <c r="H17" s="535">
        <v>45143.1</v>
      </c>
      <c r="I17" s="84">
        <f>'[1]SB(S)'!$M$20</f>
        <v>0</v>
      </c>
      <c r="J17" s="139"/>
    </row>
    <row r="18" spans="1:12" x14ac:dyDescent="0.25">
      <c r="A18" s="54"/>
      <c r="B18" s="537" t="s">
        <v>221</v>
      </c>
      <c r="C18" s="184" t="s">
        <v>74</v>
      </c>
      <c r="D18" s="192">
        <v>12000</v>
      </c>
      <c r="E18" s="535">
        <v>24000</v>
      </c>
      <c r="F18" s="320">
        <v>12000</v>
      </c>
      <c r="G18" s="84">
        <f t="shared" si="0"/>
        <v>12000</v>
      </c>
      <c r="H18" s="535">
        <v>24000</v>
      </c>
      <c r="I18" s="84">
        <f>'[1]SB(S)'!$N$20</f>
        <v>24000</v>
      </c>
      <c r="J18" s="139"/>
    </row>
    <row r="19" spans="1:12" x14ac:dyDescent="0.25">
      <c r="A19" s="54"/>
      <c r="B19" s="538" t="s">
        <v>224</v>
      </c>
      <c r="C19" s="184" t="s">
        <v>75</v>
      </c>
      <c r="D19" s="192"/>
      <c r="E19" s="535">
        <v>67500</v>
      </c>
      <c r="F19" s="320">
        <v>33750</v>
      </c>
      <c r="G19" s="84">
        <f t="shared" si="0"/>
        <v>33750</v>
      </c>
      <c r="H19" s="535">
        <v>67500</v>
      </c>
      <c r="I19" s="84">
        <f>'[1]SB(S)'!$O$20</f>
        <v>67500</v>
      </c>
      <c r="J19" s="139"/>
    </row>
    <row r="20" spans="1:12" x14ac:dyDescent="0.25">
      <c r="A20" s="54"/>
      <c r="B20" s="537" t="s">
        <v>223</v>
      </c>
      <c r="C20" s="184" t="s">
        <v>76</v>
      </c>
      <c r="D20" s="192"/>
      <c r="E20" s="535">
        <v>67500</v>
      </c>
      <c r="F20" s="320">
        <v>33750</v>
      </c>
      <c r="G20" s="84">
        <f t="shared" si="0"/>
        <v>33750</v>
      </c>
      <c r="H20" s="535">
        <v>67500</v>
      </c>
      <c r="I20" s="84">
        <f>'[1]SB(S)'!$P$20</f>
        <v>67500</v>
      </c>
      <c r="J20" s="139"/>
    </row>
    <row r="21" spans="1:12" x14ac:dyDescent="0.25">
      <c r="A21" s="54"/>
      <c r="B21" s="537" t="s">
        <v>222</v>
      </c>
      <c r="C21" s="184" t="s">
        <v>77</v>
      </c>
      <c r="D21" s="192">
        <v>5000</v>
      </c>
      <c r="E21" s="535">
        <v>5000</v>
      </c>
      <c r="F21" s="320"/>
      <c r="G21" s="84">
        <f t="shared" si="0"/>
        <v>6000</v>
      </c>
      <c r="H21" s="535">
        <v>6000</v>
      </c>
      <c r="I21" s="84">
        <f>'[1]SB(S)'!$Q$20</f>
        <v>6000</v>
      </c>
      <c r="J21" s="139"/>
    </row>
    <row r="22" spans="1:12" x14ac:dyDescent="0.25">
      <c r="A22" s="54"/>
      <c r="B22" s="538" t="s">
        <v>225</v>
      </c>
      <c r="C22" s="184" t="s">
        <v>78</v>
      </c>
      <c r="D22" s="192">
        <v>5000</v>
      </c>
      <c r="E22" s="535">
        <v>5000</v>
      </c>
      <c r="F22" s="320"/>
      <c r="G22" s="84">
        <f t="shared" si="0"/>
        <v>5000</v>
      </c>
      <c r="H22" s="535">
        <v>5000</v>
      </c>
      <c r="I22" s="86">
        <f>'[1]SB(S)'!$R$20</f>
        <v>5000</v>
      </c>
      <c r="J22" s="139"/>
    </row>
    <row r="23" spans="1:12" x14ac:dyDescent="0.25">
      <c r="A23" s="54"/>
      <c r="B23" s="538" t="s">
        <v>226</v>
      </c>
      <c r="C23" s="184" t="s">
        <v>80</v>
      </c>
      <c r="D23" s="192"/>
      <c r="E23" s="535">
        <f>53124+61008</f>
        <v>114132</v>
      </c>
      <c r="F23" s="320">
        <v>61008</v>
      </c>
      <c r="G23" s="84">
        <f>H23-F23</f>
        <v>53124</v>
      </c>
      <c r="H23" s="535">
        <v>114132</v>
      </c>
      <c r="I23" s="84">
        <f>'[1]SB(S)'!$S$20</f>
        <v>140122</v>
      </c>
      <c r="J23" s="139"/>
      <c r="K23" s="44"/>
    </row>
    <row r="24" spans="1:12" x14ac:dyDescent="0.25">
      <c r="A24" s="54"/>
      <c r="B24" s="538" t="s">
        <v>227</v>
      </c>
      <c r="C24" s="184" t="s">
        <v>79</v>
      </c>
      <c r="D24" s="192">
        <v>2500</v>
      </c>
      <c r="E24" s="535">
        <v>5000</v>
      </c>
      <c r="F24" s="320"/>
      <c r="G24" s="84">
        <f t="shared" si="0"/>
        <v>5000</v>
      </c>
      <c r="H24" s="535">
        <v>5000</v>
      </c>
      <c r="I24" s="84">
        <f>'[1]SB(S)'!$T$20</f>
        <v>5000</v>
      </c>
      <c r="J24" s="139"/>
      <c r="K24" s="44"/>
      <c r="L24" s="139"/>
    </row>
    <row r="25" spans="1:12" x14ac:dyDescent="0.25">
      <c r="A25" s="54"/>
      <c r="B25" s="538" t="s">
        <v>228</v>
      </c>
      <c r="C25" s="184" t="s">
        <v>81</v>
      </c>
      <c r="D25" s="192">
        <v>29834.28</v>
      </c>
      <c r="E25" s="535">
        <v>87851.520000000004</v>
      </c>
      <c r="F25" s="320">
        <v>41862</v>
      </c>
      <c r="G25" s="84">
        <f t="shared" si="0"/>
        <v>45989.520000000004</v>
      </c>
      <c r="H25" s="535">
        <v>87851.520000000004</v>
      </c>
      <c r="I25" s="84">
        <f>'[1]SB(S)'!$U$20</f>
        <v>100887.84</v>
      </c>
      <c r="J25" s="139"/>
    </row>
    <row r="26" spans="1:12" x14ac:dyDescent="0.25">
      <c r="A26" s="54"/>
      <c r="B26" s="538" t="s">
        <v>229</v>
      </c>
      <c r="C26" s="184" t="s">
        <v>82</v>
      </c>
      <c r="D26" s="192">
        <v>600</v>
      </c>
      <c r="E26" s="535">
        <v>1200</v>
      </c>
      <c r="F26" s="320">
        <v>600</v>
      </c>
      <c r="G26" s="84">
        <f t="shared" si="0"/>
        <v>600</v>
      </c>
      <c r="H26" s="535">
        <v>1200</v>
      </c>
      <c r="I26" s="84">
        <f>'[1]SB(S)'!$V$20</f>
        <v>1200</v>
      </c>
      <c r="J26" s="139"/>
    </row>
    <row r="27" spans="1:12" x14ac:dyDescent="0.25">
      <c r="A27" s="54"/>
      <c r="B27" s="538" t="s">
        <v>230</v>
      </c>
      <c r="C27" s="184" t="s">
        <v>83</v>
      </c>
      <c r="D27" s="192">
        <v>3062.5</v>
      </c>
      <c r="E27" s="535">
        <v>5250</v>
      </c>
      <c r="F27" s="320">
        <v>3525</v>
      </c>
      <c r="G27" s="84">
        <f t="shared" si="0"/>
        <v>2825</v>
      </c>
      <c r="H27" s="535">
        <v>6350</v>
      </c>
      <c r="I27" s="84">
        <f>'[1]SB(S)'!$W$20</f>
        <v>6600</v>
      </c>
      <c r="J27" s="139"/>
    </row>
    <row r="28" spans="1:12" x14ac:dyDescent="0.25">
      <c r="A28" s="54"/>
      <c r="B28" s="538" t="s">
        <v>231</v>
      </c>
      <c r="C28" s="184" t="s">
        <v>84</v>
      </c>
      <c r="D28" s="192">
        <v>600</v>
      </c>
      <c r="E28" s="535">
        <v>7320.96</v>
      </c>
      <c r="F28" s="320">
        <v>600</v>
      </c>
      <c r="G28" s="84">
        <f t="shared" si="0"/>
        <v>975</v>
      </c>
      <c r="H28" s="535">
        <v>1575</v>
      </c>
      <c r="I28" s="84">
        <f>'[1]SB(S)'!$X$20</f>
        <v>8407.32</v>
      </c>
      <c r="J28" s="139"/>
    </row>
    <row r="29" spans="1:12" x14ac:dyDescent="0.25">
      <c r="A29" s="136"/>
      <c r="B29" s="539" t="s">
        <v>233</v>
      </c>
      <c r="C29" s="186" t="s">
        <v>85</v>
      </c>
      <c r="D29" s="195">
        <v>50514.62</v>
      </c>
      <c r="E29" s="540">
        <v>58802.8</v>
      </c>
      <c r="F29" s="541">
        <v>58802.8</v>
      </c>
      <c r="G29" s="87">
        <f t="shared" si="0"/>
        <v>3000</v>
      </c>
      <c r="H29" s="540">
        <v>61802.8</v>
      </c>
      <c r="I29" s="87">
        <f>'[1]SB(S)'!$Z$20</f>
        <v>67528.575094</v>
      </c>
      <c r="J29" s="139"/>
    </row>
    <row r="30" spans="1:12" x14ac:dyDescent="0.25">
      <c r="A30" s="1100" t="s">
        <v>71</v>
      </c>
      <c r="B30" s="1101"/>
      <c r="C30" s="542"/>
      <c r="D30" s="542">
        <f t="shared" ref="D30:I30" si="1">SUM(D16:D29)</f>
        <v>533527.71</v>
      </c>
      <c r="E30" s="542">
        <f t="shared" si="1"/>
        <v>1234653.28</v>
      </c>
      <c r="F30" s="542">
        <f t="shared" si="1"/>
        <v>609747.80000000005</v>
      </c>
      <c r="G30" s="542">
        <f t="shared" si="1"/>
        <v>615402.62</v>
      </c>
      <c r="H30" s="542">
        <f t="shared" si="1"/>
        <v>1225150.4200000002</v>
      </c>
      <c r="I30" s="542">
        <f t="shared" si="1"/>
        <v>1340477.7350940001</v>
      </c>
      <c r="J30" s="139"/>
      <c r="K30" s="139"/>
    </row>
    <row r="31" spans="1:12" x14ac:dyDescent="0.25">
      <c r="A31" s="543" t="s">
        <v>14</v>
      </c>
      <c r="B31" s="544"/>
      <c r="C31" s="394"/>
      <c r="D31" s="394"/>
      <c r="E31" s="394"/>
      <c r="F31" s="394"/>
      <c r="G31" s="394"/>
      <c r="H31" s="394"/>
      <c r="I31" s="394"/>
    </row>
    <row r="32" spans="1:12" x14ac:dyDescent="0.25">
      <c r="A32" s="54"/>
      <c r="B32" s="105" t="s">
        <v>234</v>
      </c>
      <c r="C32" s="89" t="s">
        <v>92</v>
      </c>
      <c r="D32" s="192">
        <v>44717</v>
      </c>
      <c r="E32" s="79">
        <v>58000</v>
      </c>
      <c r="F32" s="193">
        <v>57233.86</v>
      </c>
      <c r="G32" s="86">
        <f>H32-F32</f>
        <v>760</v>
      </c>
      <c r="H32" s="86">
        <v>57993.86</v>
      </c>
      <c r="I32" s="79">
        <v>60000</v>
      </c>
    </row>
    <row r="33" spans="1:11" x14ac:dyDescent="0.25">
      <c r="A33" s="54"/>
      <c r="B33" s="105" t="s">
        <v>235</v>
      </c>
      <c r="C33" s="89" t="s">
        <v>93</v>
      </c>
      <c r="D33" s="192"/>
      <c r="E33" s="79">
        <v>52500</v>
      </c>
      <c r="F33" s="193">
        <v>43391.71</v>
      </c>
      <c r="G33" s="86">
        <f>H33-F33</f>
        <v>8800</v>
      </c>
      <c r="H33" s="86">
        <v>52191.71</v>
      </c>
      <c r="I33" s="79">
        <v>55000</v>
      </c>
    </row>
    <row r="34" spans="1:11" x14ac:dyDescent="0.25">
      <c r="A34" s="54"/>
      <c r="B34" s="105" t="s">
        <v>236</v>
      </c>
      <c r="C34" s="89" t="s">
        <v>94</v>
      </c>
      <c r="D34" s="192"/>
      <c r="E34" s="79"/>
      <c r="F34" s="193"/>
      <c r="G34" s="86">
        <f t="shared" ref="G34:G36" si="2">H34-F34</f>
        <v>0</v>
      </c>
      <c r="H34" s="192"/>
      <c r="I34" s="79"/>
    </row>
    <row r="35" spans="1:11" x14ac:dyDescent="0.25">
      <c r="A35" s="54"/>
      <c r="B35" s="105" t="s">
        <v>237</v>
      </c>
      <c r="C35" s="89" t="s">
        <v>95</v>
      </c>
      <c r="D35" s="192"/>
      <c r="E35" s="79"/>
      <c r="F35" s="193"/>
      <c r="G35" s="86">
        <f t="shared" si="2"/>
        <v>0</v>
      </c>
      <c r="H35" s="86"/>
      <c r="I35" s="79">
        <v>24000</v>
      </c>
    </row>
    <row r="36" spans="1:11" x14ac:dyDescent="0.25">
      <c r="A36" s="54"/>
      <c r="B36" s="105" t="s">
        <v>255</v>
      </c>
      <c r="C36" s="89" t="s">
        <v>96</v>
      </c>
      <c r="D36" s="192">
        <v>2000</v>
      </c>
      <c r="E36" s="104">
        <v>50000</v>
      </c>
      <c r="F36" s="193">
        <v>26500</v>
      </c>
      <c r="G36" s="86">
        <f t="shared" si="2"/>
        <v>22332.14</v>
      </c>
      <c r="H36" s="86">
        <v>48832.14</v>
      </c>
      <c r="I36" s="104">
        <v>50000</v>
      </c>
      <c r="K36" s="139"/>
    </row>
    <row r="37" spans="1:11" x14ac:dyDescent="0.25">
      <c r="A37" s="136"/>
      <c r="B37" s="501" t="s">
        <v>240</v>
      </c>
      <c r="C37" s="96" t="s">
        <v>99</v>
      </c>
      <c r="D37" s="195"/>
      <c r="E37" s="195"/>
      <c r="F37" s="504"/>
      <c r="G37" s="197"/>
      <c r="H37" s="195"/>
      <c r="I37" s="188"/>
    </row>
    <row r="38" spans="1:11" x14ac:dyDescent="0.25">
      <c r="A38" s="1079" t="s">
        <v>70</v>
      </c>
      <c r="B38" s="1102"/>
      <c r="C38" s="142"/>
      <c r="D38" s="542">
        <f>SUM(D32:D37)</f>
        <v>46717</v>
      </c>
      <c r="E38" s="542">
        <f t="shared" ref="E38" si="3">SUM(E32:E37)</f>
        <v>160500</v>
      </c>
      <c r="F38" s="542">
        <f>SUM(F32:F37)</f>
        <v>127125.57</v>
      </c>
      <c r="G38" s="542">
        <f>SUM(G32:G37)</f>
        <v>31892.14</v>
      </c>
      <c r="H38" s="542">
        <f>SUM(H32:H37)</f>
        <v>159017.71000000002</v>
      </c>
      <c r="I38" s="542">
        <f>SUM(I32:I37)</f>
        <v>189000</v>
      </c>
      <c r="J38" s="139"/>
    </row>
    <row r="39" spans="1:11" x14ac:dyDescent="0.25">
      <c r="A39" s="543" t="s">
        <v>26</v>
      </c>
      <c r="B39" s="544"/>
      <c r="C39" s="394"/>
      <c r="D39" s="394"/>
      <c r="E39" s="394"/>
      <c r="F39" s="394"/>
      <c r="G39" s="394"/>
      <c r="H39" s="394"/>
      <c r="I39" s="394"/>
      <c r="J39" s="139"/>
    </row>
    <row r="40" spans="1:11" x14ac:dyDescent="0.25">
      <c r="A40" s="54"/>
      <c r="B40" s="105" t="s">
        <v>243</v>
      </c>
      <c r="C40" s="336" t="s">
        <v>110</v>
      </c>
      <c r="D40" s="192"/>
      <c r="E40" s="192"/>
      <c r="F40" s="192"/>
      <c r="G40" s="192"/>
      <c r="H40" s="192"/>
      <c r="I40" s="192">
        <v>31500</v>
      </c>
    </row>
    <row r="41" spans="1:11" x14ac:dyDescent="0.25">
      <c r="A41" s="54"/>
      <c r="B41" s="105" t="s">
        <v>244</v>
      </c>
      <c r="C41" s="201" t="s">
        <v>108</v>
      </c>
      <c r="D41" s="192"/>
      <c r="E41" s="192"/>
      <c r="F41" s="192"/>
      <c r="G41" s="192"/>
      <c r="H41" s="192"/>
      <c r="I41" s="192"/>
    </row>
    <row r="42" spans="1:11" x14ac:dyDescent="0.25">
      <c r="A42" s="136"/>
      <c r="B42" s="545" t="s">
        <v>245</v>
      </c>
      <c r="C42" s="546" t="s">
        <v>107</v>
      </c>
      <c r="D42" s="195">
        <v>0</v>
      </c>
      <c r="E42" s="195"/>
      <c r="F42" s="195"/>
      <c r="G42" s="195"/>
      <c r="H42" s="195"/>
      <c r="I42" s="195"/>
    </row>
    <row r="43" spans="1:11" x14ac:dyDescent="0.25">
      <c r="A43" s="1103" t="s">
        <v>72</v>
      </c>
      <c r="B43" s="1103"/>
      <c r="C43" s="204"/>
      <c r="D43" s="542">
        <f>SUM(D40:D42)</f>
        <v>0</v>
      </c>
      <c r="E43" s="542">
        <f t="shared" ref="E43:H43" si="4">SUM(E40:E42)</f>
        <v>0</v>
      </c>
      <c r="F43" s="542">
        <f t="shared" si="4"/>
        <v>0</v>
      </c>
      <c r="G43" s="542">
        <f t="shared" si="4"/>
        <v>0</v>
      </c>
      <c r="H43" s="542">
        <f t="shared" si="4"/>
        <v>0</v>
      </c>
      <c r="I43" s="542">
        <f>SUM(I40:I42)</f>
        <v>31500</v>
      </c>
      <c r="J43" s="139"/>
    </row>
    <row r="44" spans="1:11" x14ac:dyDescent="0.25">
      <c r="A44" s="1103" t="s">
        <v>20</v>
      </c>
      <c r="B44" s="1103"/>
      <c r="C44" s="204"/>
      <c r="D44" s="547">
        <f>D30+D38+D43</f>
        <v>580244.71</v>
      </c>
      <c r="E44" s="547">
        <f>E30+E38+E43</f>
        <v>1395153.28</v>
      </c>
      <c r="F44" s="547">
        <f>F30+F38+F43</f>
        <v>736873.37000000011</v>
      </c>
      <c r="G44" s="547">
        <f t="shared" ref="G44:H44" si="5">G30+G38+G43</f>
        <v>647294.76</v>
      </c>
      <c r="H44" s="547">
        <f t="shared" si="5"/>
        <v>1384168.1300000001</v>
      </c>
      <c r="I44" s="547">
        <f>I30+I38+I43</f>
        <v>1560977.7350940001</v>
      </c>
      <c r="J44" s="139"/>
    </row>
    <row r="45" spans="1:11" ht="22.5" customHeight="1" x14ac:dyDescent="0.25">
      <c r="B45" s="150"/>
      <c r="C45" s="151"/>
      <c r="D45" s="152"/>
      <c r="E45" s="152"/>
      <c r="F45" s="149"/>
      <c r="G45" s="149"/>
      <c r="H45" s="149"/>
      <c r="I45" s="152"/>
      <c r="K45" s="149"/>
    </row>
    <row r="46" spans="1:11" ht="16.5" customHeight="1" x14ac:dyDescent="0.25">
      <c r="B46" s="153" t="s">
        <v>22</v>
      </c>
      <c r="C46" s="36" t="s">
        <v>23</v>
      </c>
      <c r="E46" s="113"/>
      <c r="G46" s="36" t="s">
        <v>24</v>
      </c>
      <c r="I46" s="548">
        <v>1560977.74</v>
      </c>
      <c r="K46" s="37"/>
    </row>
    <row r="47" spans="1:11" ht="22.5" customHeight="1" x14ac:dyDescent="0.25">
      <c r="E47" s="113"/>
      <c r="I47" s="549">
        <f>I44-I46</f>
        <v>-4.9059998709708452E-3</v>
      </c>
      <c r="K47" s="37"/>
    </row>
    <row r="48" spans="1:11" x14ac:dyDescent="0.25">
      <c r="B48" s="216" t="s">
        <v>121</v>
      </c>
      <c r="C48" s="1086" t="s">
        <v>51</v>
      </c>
      <c r="D48" s="1086"/>
      <c r="E48" s="1086"/>
      <c r="F48" s="1086"/>
      <c r="G48" s="1085" t="s">
        <v>117</v>
      </c>
      <c r="H48" s="1085"/>
      <c r="I48" s="1085"/>
      <c r="K48" s="37"/>
    </row>
    <row r="49" spans="2:11" x14ac:dyDescent="0.25">
      <c r="B49" s="206" t="s">
        <v>63</v>
      </c>
      <c r="C49" s="1070" t="s">
        <v>64</v>
      </c>
      <c r="D49" s="1070"/>
      <c r="E49" s="1070"/>
      <c r="F49" s="1070"/>
      <c r="G49" s="1070" t="s">
        <v>67</v>
      </c>
      <c r="H49" s="1070"/>
      <c r="I49" s="1070"/>
      <c r="K49" s="37"/>
    </row>
    <row r="50" spans="2:11" ht="21" x14ac:dyDescent="0.35">
      <c r="B50" s="119"/>
      <c r="C50" s="119"/>
      <c r="D50" s="119"/>
      <c r="E50" s="119"/>
      <c r="F50" s="119"/>
      <c r="G50" s="119"/>
      <c r="H50" s="119"/>
      <c r="I50" s="119"/>
    </row>
    <row r="51" spans="2:11" ht="21" x14ac:dyDescent="0.35">
      <c r="B51" s="119"/>
      <c r="C51" s="119"/>
      <c r="D51" s="119"/>
      <c r="E51" s="119"/>
      <c r="F51" s="119"/>
      <c r="G51" s="119"/>
      <c r="H51" s="119"/>
      <c r="I51" s="119"/>
    </row>
    <row r="53" spans="2:11" x14ac:dyDescent="0.25">
      <c r="D53" s="37"/>
      <c r="E53" s="37"/>
      <c r="F53" s="37"/>
      <c r="G53" s="37"/>
      <c r="H53" s="37"/>
      <c r="I53" s="37"/>
    </row>
    <row r="54" spans="2:11" x14ac:dyDescent="0.25">
      <c r="D54" s="37"/>
      <c r="E54" s="37"/>
      <c r="F54" s="37"/>
      <c r="G54" s="37"/>
      <c r="H54" s="37"/>
      <c r="I54" s="37"/>
    </row>
    <row r="55" spans="2:11" x14ac:dyDescent="0.25">
      <c r="D55" s="37"/>
      <c r="E55" s="37"/>
      <c r="F55" s="37"/>
      <c r="G55" s="37"/>
      <c r="H55" s="37"/>
      <c r="I55" s="37"/>
    </row>
    <row r="56" spans="2:11" x14ac:dyDescent="0.25">
      <c r="D56" s="37"/>
      <c r="E56" s="37"/>
      <c r="F56" s="37"/>
      <c r="G56" s="37"/>
      <c r="H56" s="37"/>
      <c r="I56" s="37"/>
    </row>
    <row r="57" spans="2:11" x14ac:dyDescent="0.25">
      <c r="D57" s="37"/>
      <c r="E57" s="37"/>
      <c r="F57" s="37"/>
      <c r="G57" s="37"/>
      <c r="H57" s="37"/>
      <c r="I57" s="37"/>
    </row>
    <row r="58" spans="2:11" x14ac:dyDescent="0.25">
      <c r="D58" s="37"/>
      <c r="E58" s="37"/>
      <c r="F58" s="37"/>
      <c r="G58" s="37"/>
      <c r="H58" s="37"/>
      <c r="I58" s="37"/>
    </row>
    <row r="59" spans="2:11" x14ac:dyDescent="0.25">
      <c r="D59" s="37"/>
      <c r="E59" s="37"/>
      <c r="F59" s="37"/>
      <c r="G59" s="37"/>
      <c r="H59" s="37"/>
      <c r="I59" s="37"/>
    </row>
    <row r="60" spans="2:11" x14ac:dyDescent="0.25">
      <c r="D60" s="37"/>
      <c r="E60" s="37"/>
      <c r="F60" s="37"/>
      <c r="G60" s="37"/>
      <c r="H60" s="37"/>
      <c r="I60" s="37"/>
    </row>
    <row r="61" spans="2:11" x14ac:dyDescent="0.25">
      <c r="D61" s="37"/>
      <c r="E61" s="37"/>
      <c r="F61" s="37"/>
      <c r="G61" s="37"/>
      <c r="H61" s="37"/>
      <c r="I61" s="37"/>
    </row>
    <row r="62" spans="2:11" x14ac:dyDescent="0.25">
      <c r="D62" s="37"/>
      <c r="E62" s="37"/>
      <c r="F62" s="37"/>
      <c r="G62" s="37"/>
      <c r="H62" s="37"/>
      <c r="I62" s="37"/>
    </row>
    <row r="63" spans="2:11" x14ac:dyDescent="0.25">
      <c r="D63" s="37"/>
      <c r="E63" s="37"/>
      <c r="F63" s="37"/>
      <c r="G63" s="37"/>
      <c r="H63" s="37"/>
      <c r="I63" s="37"/>
    </row>
  </sheetData>
  <sheetProtection algorithmName="SHA-512" hashValue="t3XEqXSS+pzKiFljs31yXt7Li7QKypThDmLqFLF8FSultuEHezzpPOWcskEa6UGnoLTl1DM7XsK+Th2qwB0Gig==" saltValue="vrexCy4LA7j0hN/98d51Xg==" spinCount="100000" sheet="1" objects="1" scenarios="1" selectLockedCells="1" selectUnlockedCells="1"/>
  <mergeCells count="14">
    <mergeCell ref="C49:F49"/>
    <mergeCell ref="G49:I49"/>
    <mergeCell ref="C10:C11"/>
    <mergeCell ref="F10:H10"/>
    <mergeCell ref="E10:E14"/>
    <mergeCell ref="A3:I3"/>
    <mergeCell ref="A4:I4"/>
    <mergeCell ref="A10:B11"/>
    <mergeCell ref="C48:F48"/>
    <mergeCell ref="G48:I48"/>
    <mergeCell ref="A30:B30"/>
    <mergeCell ref="A38:B38"/>
    <mergeCell ref="A43:B43"/>
    <mergeCell ref="A44:B44"/>
  </mergeCells>
  <printOptions horizontalCentered="1"/>
  <pageMargins left="0.43" right="0" top="0.75" bottom="0" header="0" footer="0"/>
  <pageSetup scale="70" orientation="portrait" r:id="rId1"/>
  <headerFooter>
    <oddHeader>&amp;R&amp;D   &amp;T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N76"/>
  <sheetViews>
    <sheetView topLeftCell="A28" zoomScale="110" zoomScaleNormal="110" workbookViewId="0">
      <selection activeCell="B54" sqref="B54"/>
    </sheetView>
  </sheetViews>
  <sheetFormatPr defaultRowHeight="15" x14ac:dyDescent="0.25"/>
  <cols>
    <col min="1" max="1" width="2.85546875" style="36" customWidth="1"/>
    <col min="2" max="2" width="44.28515625" style="36" customWidth="1"/>
    <col min="3" max="3" width="13.5703125" style="36" customWidth="1"/>
    <col min="4" max="4" width="13.28515625" style="113" customWidth="1"/>
    <col min="5" max="5" width="13.42578125" style="113" hidden="1" customWidth="1"/>
    <col min="6" max="8" width="13.42578125" style="36" customWidth="1"/>
    <col min="9" max="9" width="13.42578125" style="41" customWidth="1"/>
    <col min="10" max="10" width="13.140625" style="36" customWidth="1"/>
    <col min="11" max="11" width="13.28515625" style="36" bestFit="1" customWidth="1"/>
    <col min="12" max="12" width="11.5703125" style="36" bestFit="1" customWidth="1"/>
    <col min="13" max="16384" width="9.140625" style="36"/>
  </cols>
  <sheetData>
    <row r="1" spans="1:9" x14ac:dyDescent="0.25">
      <c r="A1" s="36" t="s">
        <v>9</v>
      </c>
      <c r="I1" s="41" t="s">
        <v>27</v>
      </c>
    </row>
    <row r="3" spans="1:9" s="114" customFormat="1" ht="14.25" customHeight="1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  <c r="I3" s="1069"/>
    </row>
    <row r="4" spans="1:9" s="114" customFormat="1" ht="15" customHeight="1" x14ac:dyDescent="0.25">
      <c r="A4" s="1069" t="s">
        <v>49</v>
      </c>
      <c r="B4" s="1069"/>
      <c r="C4" s="1069"/>
      <c r="D4" s="1069"/>
      <c r="E4" s="1069"/>
      <c r="F4" s="1069"/>
      <c r="G4" s="1069"/>
      <c r="H4" s="1069"/>
      <c r="I4" s="1069"/>
    </row>
    <row r="5" spans="1:9" s="114" customFormat="1" ht="15.75" x14ac:dyDescent="0.25">
      <c r="B5" s="116"/>
      <c r="D5" s="117"/>
      <c r="E5" s="117"/>
      <c r="I5" s="118"/>
    </row>
    <row r="6" spans="1:9" s="114" customFormat="1" ht="15" customHeight="1" x14ac:dyDescent="0.25">
      <c r="A6" s="116" t="s">
        <v>147</v>
      </c>
      <c r="B6" s="116"/>
      <c r="D6" s="117"/>
      <c r="E6" s="117"/>
      <c r="I6" s="118"/>
    </row>
    <row r="7" spans="1:9" s="114" customFormat="1" ht="15" customHeight="1" x14ac:dyDescent="0.25">
      <c r="A7" s="114" t="s">
        <v>123</v>
      </c>
      <c r="D7" s="117"/>
      <c r="E7" s="117"/>
      <c r="I7" s="118"/>
    </row>
    <row r="8" spans="1:9" s="114" customFormat="1" ht="15" customHeight="1" x14ac:dyDescent="0.25">
      <c r="A8" s="114" t="s">
        <v>124</v>
      </c>
      <c r="D8" s="117"/>
      <c r="E8" s="117"/>
      <c r="I8" s="118"/>
    </row>
    <row r="10" spans="1:9" x14ac:dyDescent="0.25">
      <c r="A10" s="122"/>
      <c r="B10" s="1076" t="s">
        <v>0</v>
      </c>
      <c r="C10" s="1073" t="s">
        <v>1</v>
      </c>
      <c r="D10" s="212" t="s">
        <v>2</v>
      </c>
      <c r="E10" s="1082" t="s">
        <v>105</v>
      </c>
      <c r="F10" s="1075" t="s">
        <v>8</v>
      </c>
      <c r="G10" s="1076"/>
      <c r="H10" s="1071"/>
      <c r="I10" s="212" t="s">
        <v>3</v>
      </c>
    </row>
    <row r="11" spans="1:9" ht="60.75" customHeight="1" x14ac:dyDescent="0.25">
      <c r="A11" s="124"/>
      <c r="B11" s="1087"/>
      <c r="C11" s="1074"/>
      <c r="D11" s="213" t="s">
        <v>4</v>
      </c>
      <c r="E11" s="1083"/>
      <c r="F11" s="209" t="s">
        <v>31</v>
      </c>
      <c r="G11" s="209" t="s">
        <v>32</v>
      </c>
      <c r="H11" s="127" t="s">
        <v>5</v>
      </c>
      <c r="I11" s="213" t="s">
        <v>6</v>
      </c>
    </row>
    <row r="12" spans="1:9" x14ac:dyDescent="0.25">
      <c r="A12" s="124"/>
      <c r="B12" s="425"/>
      <c r="C12" s="129"/>
      <c r="D12" s="213"/>
      <c r="E12" s="1083"/>
      <c r="F12" s="129" t="s">
        <v>4</v>
      </c>
      <c r="G12" s="129" t="s">
        <v>7</v>
      </c>
      <c r="H12" s="129"/>
      <c r="I12" s="213"/>
    </row>
    <row r="13" spans="1:9" x14ac:dyDescent="0.25">
      <c r="A13" s="124"/>
      <c r="B13" s="425"/>
      <c r="C13" s="129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131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134" t="s">
        <v>11</v>
      </c>
      <c r="B15" s="135"/>
      <c r="C15" s="129"/>
      <c r="D15" s="477"/>
      <c r="E15" s="477"/>
      <c r="F15" s="129"/>
      <c r="G15" s="129"/>
      <c r="H15" s="129"/>
      <c r="I15" s="213"/>
    </row>
    <row r="16" spans="1:9" x14ac:dyDescent="0.25">
      <c r="A16" s="54"/>
      <c r="B16" s="105" t="s">
        <v>219</v>
      </c>
      <c r="C16" s="89" t="s">
        <v>73</v>
      </c>
      <c r="D16" s="320">
        <v>827920</v>
      </c>
      <c r="E16" s="320">
        <v>1284240</v>
      </c>
      <c r="F16" s="85">
        <v>613319.93000000005</v>
      </c>
      <c r="G16" s="84">
        <f>H16-F16</f>
        <v>660352.99999999988</v>
      </c>
      <c r="H16" s="320">
        <v>1273672.93</v>
      </c>
      <c r="I16" s="550">
        <f>[1]MPDC!$L$33</f>
        <v>1413864</v>
      </c>
    </row>
    <row r="17" spans="1:14" x14ac:dyDescent="0.25">
      <c r="A17" s="54"/>
      <c r="B17" s="105" t="s">
        <v>220</v>
      </c>
      <c r="C17" s="89" t="s">
        <v>86</v>
      </c>
      <c r="D17" s="98">
        <v>48860</v>
      </c>
      <c r="E17" s="320">
        <v>50000</v>
      </c>
      <c r="F17" s="85">
        <v>34480</v>
      </c>
      <c r="G17" s="84">
        <f t="shared" ref="G17:G29" si="0">H17-F17</f>
        <v>14500</v>
      </c>
      <c r="H17" s="320">
        <v>48980</v>
      </c>
      <c r="I17" s="98">
        <f>[1]MPDC!$M$33</f>
        <v>50000</v>
      </c>
    </row>
    <row r="18" spans="1:14" x14ac:dyDescent="0.25">
      <c r="A18" s="54"/>
      <c r="B18" s="538" t="s">
        <v>221</v>
      </c>
      <c r="C18" s="184" t="s">
        <v>74</v>
      </c>
      <c r="D18" s="320">
        <v>88000</v>
      </c>
      <c r="E18" s="320">
        <v>120000</v>
      </c>
      <c r="F18" s="85">
        <v>58645.16</v>
      </c>
      <c r="G18" s="84">
        <f t="shared" si="0"/>
        <v>60000</v>
      </c>
      <c r="H18" s="320">
        <v>118645.16</v>
      </c>
      <c r="I18" s="550">
        <f>[1]MPDC!$N$33</f>
        <v>120000</v>
      </c>
    </row>
    <row r="19" spans="1:14" x14ac:dyDescent="0.25">
      <c r="A19" s="54"/>
      <c r="B19" s="538" t="s">
        <v>224</v>
      </c>
      <c r="C19" s="184" t="s">
        <v>75</v>
      </c>
      <c r="D19" s="320"/>
      <c r="E19" s="320">
        <v>67500</v>
      </c>
      <c r="F19" s="85">
        <v>33750</v>
      </c>
      <c r="G19" s="84">
        <f t="shared" si="0"/>
        <v>33750</v>
      </c>
      <c r="H19" s="320">
        <v>67500</v>
      </c>
      <c r="I19" s="550">
        <f>[1]MPDC!$O$33</f>
        <v>67500</v>
      </c>
    </row>
    <row r="20" spans="1:14" x14ac:dyDescent="0.25">
      <c r="A20" s="54"/>
      <c r="B20" s="538" t="s">
        <v>223</v>
      </c>
      <c r="C20" s="184" t="s">
        <v>76</v>
      </c>
      <c r="D20" s="320"/>
      <c r="E20" s="320">
        <v>67500</v>
      </c>
      <c r="F20" s="85">
        <v>33750</v>
      </c>
      <c r="G20" s="84">
        <f t="shared" si="0"/>
        <v>33750</v>
      </c>
      <c r="H20" s="320">
        <v>67500</v>
      </c>
      <c r="I20" s="550">
        <f>[1]MPDC!$P$33</f>
        <v>67500</v>
      </c>
    </row>
    <row r="21" spans="1:14" x14ac:dyDescent="0.25">
      <c r="A21" s="54"/>
      <c r="B21" s="538" t="s">
        <v>222</v>
      </c>
      <c r="C21" s="184" t="s">
        <v>77</v>
      </c>
      <c r="D21" s="320">
        <v>20000</v>
      </c>
      <c r="E21" s="320">
        <v>25000</v>
      </c>
      <c r="F21" s="85"/>
      <c r="G21" s="84">
        <f t="shared" si="0"/>
        <v>25000</v>
      </c>
      <c r="H21" s="320">
        <v>25000</v>
      </c>
      <c r="I21" s="550">
        <f>[1]MPDC!$Q$33</f>
        <v>30000</v>
      </c>
    </row>
    <row r="22" spans="1:14" x14ac:dyDescent="0.25">
      <c r="A22" s="54"/>
      <c r="B22" s="538" t="s">
        <v>225</v>
      </c>
      <c r="C22" s="184" t="s">
        <v>78</v>
      </c>
      <c r="D22" s="320">
        <v>20000</v>
      </c>
      <c r="E22" s="320">
        <v>25000</v>
      </c>
      <c r="F22" s="85"/>
      <c r="G22" s="84">
        <f t="shared" si="0"/>
        <v>25000</v>
      </c>
      <c r="H22" s="320">
        <v>25000</v>
      </c>
      <c r="I22" s="550">
        <f>[1]MPDC!$R$33</f>
        <v>25000</v>
      </c>
    </row>
    <row r="23" spans="1:14" x14ac:dyDescent="0.25">
      <c r="A23" s="54"/>
      <c r="B23" s="538" t="s">
        <v>226</v>
      </c>
      <c r="C23" s="184" t="s">
        <v>80</v>
      </c>
      <c r="D23" s="320">
        <f>82792+82792</f>
        <v>165584</v>
      </c>
      <c r="E23" s="320">
        <f>107051+107051</f>
        <v>214102</v>
      </c>
      <c r="F23" s="85">
        <v>95796</v>
      </c>
      <c r="G23" s="84">
        <f>H23-F23</f>
        <v>108020</v>
      </c>
      <c r="H23" s="320">
        <v>203816</v>
      </c>
      <c r="I23" s="550">
        <f>[1]MPDC!$S$33</f>
        <v>235644</v>
      </c>
      <c r="K23" s="441"/>
      <c r="L23" s="151"/>
      <c r="M23" s="151"/>
      <c r="N23" s="151"/>
    </row>
    <row r="24" spans="1:14" x14ac:dyDescent="0.25">
      <c r="A24" s="54"/>
      <c r="B24" s="538" t="s">
        <v>227</v>
      </c>
      <c r="C24" s="184" t="s">
        <v>79</v>
      </c>
      <c r="D24" s="320">
        <v>20000</v>
      </c>
      <c r="E24" s="320">
        <v>25000</v>
      </c>
      <c r="F24" s="85"/>
      <c r="G24" s="84">
        <f t="shared" si="0"/>
        <v>25000</v>
      </c>
      <c r="H24" s="320">
        <v>25000</v>
      </c>
      <c r="I24" s="550">
        <f>[1]MPDC!$T$33</f>
        <v>25000</v>
      </c>
      <c r="K24" s="441"/>
      <c r="L24" s="475"/>
      <c r="M24" s="151"/>
      <c r="N24" s="151"/>
    </row>
    <row r="25" spans="1:14" x14ac:dyDescent="0.25">
      <c r="A25" s="54"/>
      <c r="B25" s="538" t="s">
        <v>228</v>
      </c>
      <c r="C25" s="184" t="s">
        <v>81</v>
      </c>
      <c r="D25" s="320">
        <v>79480.320000000007</v>
      </c>
      <c r="E25" s="320">
        <v>154153.44</v>
      </c>
      <c r="F25" s="85">
        <v>74422.69</v>
      </c>
      <c r="G25" s="84">
        <f t="shared" si="0"/>
        <v>79247.760000000009</v>
      </c>
      <c r="H25" s="320">
        <v>153670.45000000001</v>
      </c>
      <c r="I25" s="550">
        <f>[1]MPDC!$U$33</f>
        <v>169663.68</v>
      </c>
      <c r="K25" s="151"/>
      <c r="L25" s="151"/>
      <c r="M25" s="151"/>
      <c r="N25" s="151"/>
    </row>
    <row r="26" spans="1:14" x14ac:dyDescent="0.25">
      <c r="A26" s="54"/>
      <c r="B26" s="538" t="s">
        <v>229</v>
      </c>
      <c r="C26" s="184" t="s">
        <v>82</v>
      </c>
      <c r="D26" s="320">
        <v>3200</v>
      </c>
      <c r="E26" s="320">
        <v>6000</v>
      </c>
      <c r="F26" s="85">
        <v>2800</v>
      </c>
      <c r="G26" s="84">
        <f t="shared" si="0"/>
        <v>3000</v>
      </c>
      <c r="H26" s="320">
        <v>5800</v>
      </c>
      <c r="I26" s="550">
        <f>[1]MPDC!$V$33</f>
        <v>6000</v>
      </c>
      <c r="K26" s="151"/>
      <c r="L26" s="151"/>
      <c r="M26" s="151"/>
      <c r="N26" s="151"/>
    </row>
    <row r="27" spans="1:14" x14ac:dyDescent="0.25">
      <c r="A27" s="54"/>
      <c r="B27" s="538" t="s">
        <v>230</v>
      </c>
      <c r="C27" s="184" t="s">
        <v>83</v>
      </c>
      <c r="D27" s="320">
        <v>9450</v>
      </c>
      <c r="E27" s="320">
        <v>10350</v>
      </c>
      <c r="F27" s="85">
        <v>6526.08</v>
      </c>
      <c r="G27" s="84">
        <f t="shared" si="0"/>
        <v>6236.48</v>
      </c>
      <c r="H27" s="320">
        <v>12762.56</v>
      </c>
      <c r="I27" s="550">
        <f>[1]MPDC!$W$33</f>
        <v>14480.565000000001</v>
      </c>
      <c r="K27" s="151"/>
      <c r="L27" s="151"/>
      <c r="M27" s="151"/>
      <c r="N27" s="151"/>
    </row>
    <row r="28" spans="1:14" x14ac:dyDescent="0.25">
      <c r="A28" s="54"/>
      <c r="B28" s="551" t="s">
        <v>231</v>
      </c>
      <c r="C28" s="184" t="s">
        <v>84</v>
      </c>
      <c r="D28" s="320">
        <v>3081.74</v>
      </c>
      <c r="E28" s="320">
        <v>12846.12</v>
      </c>
      <c r="F28" s="85">
        <v>2932.72</v>
      </c>
      <c r="G28" s="84">
        <f t="shared" si="0"/>
        <v>8351.7000000000007</v>
      </c>
      <c r="H28" s="320">
        <v>11284.42</v>
      </c>
      <c r="I28" s="550">
        <f>[1]MPDC!$X$33</f>
        <v>14138.640000000001</v>
      </c>
      <c r="K28" s="151"/>
      <c r="L28" s="151"/>
      <c r="M28" s="151"/>
      <c r="N28" s="151"/>
    </row>
    <row r="29" spans="1:14" x14ac:dyDescent="0.25">
      <c r="A29" s="136"/>
      <c r="B29" s="539" t="s">
        <v>233</v>
      </c>
      <c r="C29" s="186" t="s">
        <v>85</v>
      </c>
      <c r="D29" s="541">
        <v>79799.399999999994</v>
      </c>
      <c r="E29" s="541">
        <v>88564.69</v>
      </c>
      <c r="F29" s="552">
        <v>88477.94</v>
      </c>
      <c r="G29" s="87">
        <f t="shared" si="0"/>
        <v>12000</v>
      </c>
      <c r="H29" s="541">
        <v>100477.94</v>
      </c>
      <c r="I29" s="553">
        <f>[1]MPDC!$Z$33</f>
        <v>113563.205988</v>
      </c>
      <c r="K29" s="151"/>
      <c r="L29" s="151"/>
      <c r="M29" s="151"/>
      <c r="N29" s="151"/>
    </row>
    <row r="30" spans="1:14" x14ac:dyDescent="0.25">
      <c r="A30" s="554" t="s">
        <v>71</v>
      </c>
      <c r="B30" s="555"/>
      <c r="C30" s="556"/>
      <c r="D30" s="557">
        <f t="shared" ref="D30:I30" si="1">SUM(D16:D29)</f>
        <v>1365375.46</v>
      </c>
      <c r="E30" s="557">
        <f t="shared" si="1"/>
        <v>2150256.25</v>
      </c>
      <c r="F30" s="557">
        <f t="shared" si="1"/>
        <v>1044900.52</v>
      </c>
      <c r="G30" s="557">
        <f>SUM(G16:G29)</f>
        <v>1094208.9399999997</v>
      </c>
      <c r="H30" s="557">
        <f t="shared" si="1"/>
        <v>2139109.46</v>
      </c>
      <c r="I30" s="557">
        <f t="shared" si="1"/>
        <v>2352354.0909880004</v>
      </c>
      <c r="J30" s="139"/>
      <c r="K30" s="475"/>
      <c r="L30" s="151"/>
      <c r="M30" s="151"/>
      <c r="N30" s="151"/>
    </row>
    <row r="31" spans="1:14" x14ac:dyDescent="0.25">
      <c r="A31" s="141" t="s">
        <v>14</v>
      </c>
      <c r="B31" s="150"/>
      <c r="C31" s="394"/>
      <c r="D31" s="496"/>
      <c r="E31" s="496"/>
      <c r="F31" s="394"/>
      <c r="G31" s="394"/>
      <c r="H31" s="394"/>
      <c r="I31" s="130"/>
      <c r="K31" s="151"/>
      <c r="L31" s="151"/>
      <c r="M31" s="151"/>
      <c r="N31" s="151"/>
    </row>
    <row r="32" spans="1:14" x14ac:dyDescent="0.25">
      <c r="A32" s="54"/>
      <c r="B32" s="105" t="s">
        <v>234</v>
      </c>
      <c r="C32" s="89" t="s">
        <v>92</v>
      </c>
      <c r="D32" s="192">
        <v>117264.5</v>
      </c>
      <c r="E32" s="79">
        <v>80000</v>
      </c>
      <c r="F32" s="192">
        <v>30044.400000000001</v>
      </c>
      <c r="G32" s="84">
        <f t="shared" ref="G32:G40" si="2">H32-F32</f>
        <v>49850.93</v>
      </c>
      <c r="H32" s="558">
        <v>79895.33</v>
      </c>
      <c r="I32" s="79">
        <v>80000</v>
      </c>
      <c r="K32" s="151"/>
      <c r="L32" s="151"/>
      <c r="M32" s="151"/>
      <c r="N32" s="151"/>
    </row>
    <row r="33" spans="1:14" x14ac:dyDescent="0.25">
      <c r="A33" s="54"/>
      <c r="B33" s="105" t="s">
        <v>235</v>
      </c>
      <c r="C33" s="89" t="s">
        <v>93</v>
      </c>
      <c r="D33" s="192">
        <v>34264</v>
      </c>
      <c r="E33" s="79">
        <v>62000</v>
      </c>
      <c r="F33" s="192"/>
      <c r="G33" s="84">
        <f t="shared" si="2"/>
        <v>54700.68</v>
      </c>
      <c r="H33" s="558">
        <v>54700.68</v>
      </c>
      <c r="I33" s="79">
        <v>62000</v>
      </c>
      <c r="K33" s="151"/>
      <c r="L33" s="151"/>
      <c r="M33" s="151"/>
      <c r="N33" s="151"/>
    </row>
    <row r="34" spans="1:14" x14ac:dyDescent="0.25">
      <c r="A34" s="54"/>
      <c r="B34" s="105" t="s">
        <v>236</v>
      </c>
      <c r="C34" s="89" t="s">
        <v>94</v>
      </c>
      <c r="D34" s="192">
        <v>74888.25</v>
      </c>
      <c r="E34" s="79">
        <v>75000</v>
      </c>
      <c r="F34" s="192">
        <v>31316.23</v>
      </c>
      <c r="G34" s="84">
        <f t="shared" si="2"/>
        <v>39537.790000000008</v>
      </c>
      <c r="H34" s="558">
        <v>70854.02</v>
      </c>
      <c r="I34" s="79">
        <v>75000</v>
      </c>
      <c r="K34" s="151"/>
      <c r="L34" s="151"/>
      <c r="M34" s="151"/>
      <c r="N34" s="151"/>
    </row>
    <row r="35" spans="1:14" x14ac:dyDescent="0.25">
      <c r="A35" s="54"/>
      <c r="B35" s="172" t="s">
        <v>268</v>
      </c>
      <c r="C35" s="89" t="s">
        <v>98</v>
      </c>
      <c r="D35" s="559"/>
      <c r="E35" s="80"/>
      <c r="F35" s="192"/>
      <c r="G35" s="84">
        <f t="shared" si="2"/>
        <v>0</v>
      </c>
      <c r="H35" s="192"/>
      <c r="I35" s="80"/>
      <c r="K35" s="151"/>
      <c r="L35" s="151"/>
      <c r="M35" s="151"/>
      <c r="N35" s="151"/>
    </row>
    <row r="36" spans="1:14" x14ac:dyDescent="0.25">
      <c r="A36" s="54"/>
      <c r="B36" s="105" t="s">
        <v>237</v>
      </c>
      <c r="C36" s="89" t="s">
        <v>95</v>
      </c>
      <c r="D36" s="560"/>
      <c r="E36" s="79">
        <v>18000</v>
      </c>
      <c r="F36" s="192">
        <v>13622.18</v>
      </c>
      <c r="G36" s="84">
        <f t="shared" si="2"/>
        <v>29281.909999999996</v>
      </c>
      <c r="H36" s="558">
        <v>42904.09</v>
      </c>
      <c r="I36" s="79">
        <v>24000</v>
      </c>
      <c r="K36" s="151"/>
      <c r="L36" s="151"/>
      <c r="M36" s="151"/>
      <c r="N36" s="151"/>
    </row>
    <row r="37" spans="1:14" x14ac:dyDescent="0.25">
      <c r="A37" s="54"/>
      <c r="B37" s="105" t="s">
        <v>238</v>
      </c>
      <c r="C37" s="89" t="s">
        <v>118</v>
      </c>
      <c r="D37" s="560"/>
      <c r="E37" s="79"/>
      <c r="F37" s="192"/>
      <c r="G37" s="84">
        <f t="shared" si="2"/>
        <v>0</v>
      </c>
      <c r="H37" s="558"/>
      <c r="I37" s="79">
        <v>20000</v>
      </c>
      <c r="K37" s="151"/>
      <c r="L37" s="151"/>
      <c r="M37" s="151"/>
      <c r="N37" s="151"/>
    </row>
    <row r="38" spans="1:14" x14ac:dyDescent="0.25">
      <c r="A38" s="54"/>
      <c r="B38" s="105" t="s">
        <v>255</v>
      </c>
      <c r="C38" s="89" t="s">
        <v>96</v>
      </c>
      <c r="D38" s="192">
        <v>87680.11</v>
      </c>
      <c r="E38" s="79">
        <v>50000</v>
      </c>
      <c r="F38" s="192">
        <v>9200</v>
      </c>
      <c r="G38" s="84">
        <f t="shared" si="2"/>
        <v>41980</v>
      </c>
      <c r="H38" s="558">
        <v>51180</v>
      </c>
      <c r="I38" s="79">
        <v>50000</v>
      </c>
      <c r="K38" s="151"/>
      <c r="L38" s="151"/>
      <c r="M38" s="151"/>
      <c r="N38" s="151"/>
    </row>
    <row r="39" spans="1:14" x14ac:dyDescent="0.25">
      <c r="A39" s="54"/>
      <c r="B39" s="105" t="s">
        <v>240</v>
      </c>
      <c r="C39" s="89" t="s">
        <v>99</v>
      </c>
      <c r="D39" s="192">
        <v>24553.68</v>
      </c>
      <c r="E39" s="79">
        <v>35000</v>
      </c>
      <c r="F39" s="192">
        <v>5478</v>
      </c>
      <c r="G39" s="84">
        <f t="shared" si="2"/>
        <v>16120.75</v>
      </c>
      <c r="H39" s="558">
        <v>21598.75</v>
      </c>
      <c r="I39" s="79">
        <v>35000</v>
      </c>
      <c r="K39" s="151"/>
      <c r="L39" s="151"/>
      <c r="M39" s="151"/>
      <c r="N39" s="151"/>
    </row>
    <row r="40" spans="1:14" x14ac:dyDescent="0.25">
      <c r="A40" s="136"/>
      <c r="B40" s="545" t="s">
        <v>280</v>
      </c>
      <c r="C40" s="561" t="s">
        <v>122</v>
      </c>
      <c r="D40" s="562"/>
      <c r="E40" s="563">
        <v>50000</v>
      </c>
      <c r="F40" s="195"/>
      <c r="G40" s="87">
        <f t="shared" si="2"/>
        <v>0</v>
      </c>
      <c r="H40" s="195"/>
      <c r="I40" s="563">
        <v>24000</v>
      </c>
      <c r="K40" s="151"/>
      <c r="L40" s="151"/>
      <c r="M40" s="151"/>
      <c r="N40" s="151"/>
    </row>
    <row r="41" spans="1:14" x14ac:dyDescent="0.25">
      <c r="A41" s="564" t="s">
        <v>68</v>
      </c>
      <c r="B41" s="565"/>
      <c r="C41" s="142"/>
      <c r="D41" s="143">
        <f t="shared" ref="D41:H41" si="3">SUM(D32:D40)</f>
        <v>338650.54</v>
      </c>
      <c r="E41" s="143">
        <f t="shared" si="3"/>
        <v>370000</v>
      </c>
      <c r="F41" s="143">
        <f>SUM(F32:F40)</f>
        <v>89660.81</v>
      </c>
      <c r="G41" s="143">
        <f>SUM(G32:G40)</f>
        <v>231472.06000000003</v>
      </c>
      <c r="H41" s="143">
        <f t="shared" si="3"/>
        <v>321132.87</v>
      </c>
      <c r="I41" s="143">
        <f>SUM(I32:I40)</f>
        <v>370000</v>
      </c>
      <c r="J41" s="139"/>
      <c r="K41" s="475"/>
      <c r="L41" s="151"/>
      <c r="M41" s="151"/>
      <c r="N41" s="151"/>
    </row>
    <row r="42" spans="1:14" x14ac:dyDescent="0.25">
      <c r="A42" s="141" t="s">
        <v>26</v>
      </c>
      <c r="B42" s="150"/>
      <c r="C42" s="394"/>
      <c r="D42" s="566"/>
      <c r="E42" s="566"/>
      <c r="F42" s="148"/>
      <c r="G42" s="148"/>
      <c r="H42" s="148"/>
      <c r="I42" s="147"/>
      <c r="K42" s="151"/>
      <c r="L42" s="151"/>
      <c r="M42" s="151"/>
      <c r="N42" s="151"/>
    </row>
    <row r="43" spans="1:14" x14ac:dyDescent="0.25">
      <c r="A43" s="567"/>
      <c r="B43" s="568" t="s">
        <v>243</v>
      </c>
      <c r="C43" s="432" t="s">
        <v>110</v>
      </c>
      <c r="D43" s="569"/>
      <c r="E43" s="569"/>
      <c r="F43" s="570"/>
      <c r="G43" s="570"/>
      <c r="H43" s="570"/>
      <c r="I43" s="571">
        <v>100000</v>
      </c>
      <c r="K43" s="151"/>
      <c r="L43" s="151"/>
      <c r="M43" s="151"/>
      <c r="N43" s="151"/>
    </row>
    <row r="44" spans="1:14" x14ac:dyDescent="0.25">
      <c r="A44" s="567"/>
      <c r="B44" s="568" t="s">
        <v>244</v>
      </c>
      <c r="C44" s="572" t="s">
        <v>108</v>
      </c>
      <c r="D44" s="569"/>
      <c r="E44" s="569"/>
      <c r="F44" s="570"/>
      <c r="G44" s="570"/>
      <c r="H44" s="570"/>
      <c r="I44" s="571"/>
      <c r="K44" s="151"/>
      <c r="L44" s="151"/>
      <c r="M44" s="151"/>
      <c r="N44" s="151"/>
    </row>
    <row r="45" spans="1:14" x14ac:dyDescent="0.25">
      <c r="A45" s="573"/>
      <c r="B45" s="574" t="s">
        <v>245</v>
      </c>
      <c r="C45" s="575" t="s">
        <v>107</v>
      </c>
      <c r="D45" s="576">
        <v>12489.25</v>
      </c>
      <c r="E45" s="576">
        <v>0</v>
      </c>
      <c r="F45" s="577">
        <v>0</v>
      </c>
      <c r="G45" s="577">
        <v>0</v>
      </c>
      <c r="H45" s="577">
        <v>0</v>
      </c>
      <c r="I45" s="578">
        <v>82000</v>
      </c>
      <c r="K45" s="151"/>
      <c r="L45" s="151"/>
      <c r="M45" s="151"/>
      <c r="N45" s="151"/>
    </row>
    <row r="46" spans="1:14" x14ac:dyDescent="0.25">
      <c r="A46" s="564" t="s">
        <v>72</v>
      </c>
      <c r="B46" s="579"/>
      <c r="C46" s="142"/>
      <c r="D46" s="542">
        <f>SUM(D43:D45)</f>
        <v>12489.25</v>
      </c>
      <c r="E46" s="542">
        <f t="shared" ref="E46:H46" si="4">SUM(E43:E45)</f>
        <v>0</v>
      </c>
      <c r="F46" s="542">
        <f t="shared" si="4"/>
        <v>0</v>
      </c>
      <c r="G46" s="542">
        <f t="shared" si="4"/>
        <v>0</v>
      </c>
      <c r="H46" s="542">
        <f t="shared" si="4"/>
        <v>0</v>
      </c>
      <c r="I46" s="542">
        <f>SUM(I43:I45)</f>
        <v>182000</v>
      </c>
      <c r="J46" s="139"/>
      <c r="K46" s="475"/>
      <c r="L46" s="469"/>
      <c r="M46" s="151"/>
      <c r="N46" s="151"/>
    </row>
    <row r="47" spans="1:14" x14ac:dyDescent="0.25">
      <c r="A47" s="564" t="s">
        <v>20</v>
      </c>
      <c r="B47" s="579"/>
      <c r="C47" s="204"/>
      <c r="D47" s="580">
        <f>D30+D41+D46</f>
        <v>1716515.25</v>
      </c>
      <c r="E47" s="580">
        <f t="shared" ref="E47:I47" si="5">E30+E41+E46</f>
        <v>2520256.25</v>
      </c>
      <c r="F47" s="580">
        <f t="shared" si="5"/>
        <v>1134561.33</v>
      </c>
      <c r="G47" s="580">
        <f t="shared" si="5"/>
        <v>1325680.9999999998</v>
      </c>
      <c r="H47" s="580">
        <f t="shared" si="5"/>
        <v>2460242.33</v>
      </c>
      <c r="I47" s="580">
        <f t="shared" si="5"/>
        <v>2904354.0909880004</v>
      </c>
      <c r="J47" s="139"/>
      <c r="K47" s="151"/>
      <c r="L47" s="151"/>
      <c r="M47" s="151"/>
      <c r="N47" s="151"/>
    </row>
    <row r="48" spans="1:14" ht="22.5" customHeight="1" x14ac:dyDescent="0.25">
      <c r="B48" s="150"/>
      <c r="C48" s="151"/>
      <c r="D48" s="152"/>
      <c r="E48" s="152"/>
      <c r="F48" s="149"/>
      <c r="G48" s="149"/>
      <c r="H48" s="149"/>
      <c r="I48" s="152"/>
      <c r="K48" s="149"/>
      <c r="L48" s="151"/>
      <c r="M48" s="151"/>
      <c r="N48" s="151"/>
    </row>
    <row r="49" spans="2:14" ht="16.5" customHeight="1" x14ac:dyDescent="0.25">
      <c r="B49" s="153" t="s">
        <v>22</v>
      </c>
      <c r="C49" s="36" t="s">
        <v>23</v>
      </c>
      <c r="D49" s="36"/>
      <c r="G49" s="36" t="s">
        <v>24</v>
      </c>
      <c r="K49" s="44"/>
      <c r="L49" s="151"/>
      <c r="M49" s="151"/>
      <c r="N49" s="151"/>
    </row>
    <row r="50" spans="2:14" ht="22.5" customHeight="1" x14ac:dyDescent="0.25">
      <c r="D50" s="36"/>
      <c r="K50" s="44"/>
      <c r="L50" s="151"/>
      <c r="M50" s="151"/>
      <c r="N50" s="151"/>
    </row>
    <row r="51" spans="2:14" x14ac:dyDescent="0.25">
      <c r="B51" s="216" t="s">
        <v>50</v>
      </c>
      <c r="C51" s="1086" t="s">
        <v>51</v>
      </c>
      <c r="D51" s="1086"/>
      <c r="E51" s="1086"/>
      <c r="F51" s="1086"/>
      <c r="G51" s="1085" t="s">
        <v>117</v>
      </c>
      <c r="H51" s="1085"/>
      <c r="I51" s="1085"/>
      <c r="K51" s="44"/>
      <c r="L51" s="151"/>
      <c r="M51" s="151"/>
      <c r="N51" s="151"/>
    </row>
    <row r="52" spans="2:14" x14ac:dyDescent="0.25">
      <c r="B52" s="206" t="s">
        <v>63</v>
      </c>
      <c r="C52" s="1070" t="s">
        <v>64</v>
      </c>
      <c r="D52" s="1070"/>
      <c r="E52" s="1070"/>
      <c r="F52" s="1070"/>
      <c r="G52" s="1070" t="s">
        <v>67</v>
      </c>
      <c r="H52" s="1070"/>
      <c r="I52" s="1070"/>
      <c r="K52" s="44"/>
      <c r="L52" s="151"/>
      <c r="M52" s="151"/>
      <c r="N52" s="151"/>
    </row>
    <row r="53" spans="2:14" x14ac:dyDescent="0.25">
      <c r="D53" s="158"/>
      <c r="K53" s="151"/>
      <c r="L53" s="151"/>
      <c r="M53" s="151"/>
      <c r="N53" s="151"/>
    </row>
    <row r="54" spans="2:14" ht="21" x14ac:dyDescent="0.35">
      <c r="B54" s="119"/>
      <c r="C54" s="119"/>
      <c r="D54" s="120"/>
      <c r="E54" s="120"/>
      <c r="F54" s="119"/>
      <c r="G54" s="119"/>
      <c r="H54" s="119"/>
      <c r="I54" s="121"/>
      <c r="K54" s="151"/>
      <c r="L54" s="151"/>
      <c r="M54" s="151"/>
      <c r="N54" s="151"/>
    </row>
    <row r="55" spans="2:14" x14ac:dyDescent="0.25">
      <c r="C55" s="366"/>
      <c r="D55" s="156"/>
      <c r="E55" s="156"/>
      <c r="F55" s="366"/>
      <c r="G55" s="366"/>
      <c r="H55" s="366"/>
      <c r="I55" s="157"/>
      <c r="J55" s="366"/>
    </row>
    <row r="56" spans="2:14" x14ac:dyDescent="0.25">
      <c r="C56" s="366"/>
      <c r="D56" s="156"/>
      <c r="E56" s="156"/>
      <c r="F56" s="366"/>
      <c r="G56" s="366"/>
      <c r="H56" s="366"/>
      <c r="I56" s="157"/>
      <c r="J56" s="366"/>
    </row>
    <row r="57" spans="2:14" x14ac:dyDescent="0.25">
      <c r="D57" s="156"/>
      <c r="E57" s="156"/>
      <c r="F57" s="37"/>
      <c r="G57" s="37"/>
      <c r="H57" s="37"/>
      <c r="I57" s="157"/>
    </row>
    <row r="58" spans="2:14" x14ac:dyDescent="0.25">
      <c r="D58" s="156"/>
      <c r="E58" s="156"/>
      <c r="F58" s="37"/>
      <c r="G58" s="37"/>
      <c r="H58" s="37"/>
      <c r="I58" s="157"/>
    </row>
    <row r="59" spans="2:14" x14ac:dyDescent="0.25">
      <c r="D59" s="156"/>
      <c r="E59" s="156"/>
      <c r="F59" s="37"/>
      <c r="G59" s="37"/>
      <c r="H59" s="37"/>
      <c r="I59" s="157"/>
    </row>
    <row r="60" spans="2:14" x14ac:dyDescent="0.25">
      <c r="D60" s="156"/>
      <c r="E60" s="156"/>
      <c r="F60" s="37"/>
      <c r="G60" s="37"/>
      <c r="H60" s="37"/>
      <c r="I60" s="157"/>
    </row>
    <row r="61" spans="2:14" x14ac:dyDescent="0.25">
      <c r="D61" s="156"/>
      <c r="E61" s="156"/>
      <c r="F61" s="37"/>
      <c r="G61" s="37"/>
      <c r="H61" s="37"/>
      <c r="I61" s="157"/>
    </row>
    <row r="62" spans="2:14" x14ac:dyDescent="0.25">
      <c r="D62" s="156"/>
      <c r="E62" s="156"/>
      <c r="F62" s="37"/>
      <c r="G62" s="37"/>
      <c r="H62" s="37"/>
      <c r="I62" s="157"/>
    </row>
    <row r="63" spans="2:14" x14ac:dyDescent="0.25">
      <c r="D63" s="156"/>
      <c r="E63" s="156"/>
      <c r="F63" s="37"/>
      <c r="G63" s="37"/>
      <c r="H63" s="37"/>
      <c r="I63" s="157"/>
    </row>
    <row r="64" spans="2:14" x14ac:dyDescent="0.25">
      <c r="D64" s="156"/>
      <c r="E64" s="156"/>
      <c r="F64" s="37"/>
      <c r="G64" s="37"/>
      <c r="H64" s="37"/>
      <c r="I64" s="157"/>
    </row>
    <row r="65" spans="4:9" x14ac:dyDescent="0.25">
      <c r="D65" s="156"/>
      <c r="E65" s="156"/>
      <c r="F65" s="37"/>
      <c r="G65" s="37"/>
      <c r="H65" s="37"/>
      <c r="I65" s="157"/>
    </row>
    <row r="66" spans="4:9" x14ac:dyDescent="0.25">
      <c r="D66" s="156"/>
      <c r="E66" s="156"/>
      <c r="F66" s="37"/>
      <c r="G66" s="37"/>
      <c r="H66" s="37"/>
      <c r="I66" s="157"/>
    </row>
    <row r="67" spans="4:9" x14ac:dyDescent="0.25">
      <c r="D67" s="156"/>
      <c r="E67" s="156"/>
      <c r="F67" s="37"/>
      <c r="G67" s="37"/>
      <c r="H67" s="37"/>
      <c r="I67" s="157"/>
    </row>
    <row r="68" spans="4:9" x14ac:dyDescent="0.25">
      <c r="D68" s="156"/>
      <c r="E68" s="156"/>
      <c r="F68" s="37"/>
      <c r="G68" s="37"/>
      <c r="H68" s="37"/>
      <c r="I68" s="157"/>
    </row>
    <row r="69" spans="4:9" x14ac:dyDescent="0.25">
      <c r="D69" s="156"/>
      <c r="E69" s="156"/>
      <c r="F69" s="37"/>
      <c r="G69" s="37"/>
      <c r="H69" s="37"/>
      <c r="I69" s="157"/>
    </row>
    <row r="70" spans="4:9" x14ac:dyDescent="0.25">
      <c r="D70" s="156"/>
      <c r="E70" s="156"/>
      <c r="F70" s="37"/>
      <c r="G70" s="37"/>
      <c r="H70" s="37"/>
      <c r="I70" s="157"/>
    </row>
    <row r="71" spans="4:9" x14ac:dyDescent="0.25">
      <c r="D71" s="156"/>
      <c r="E71" s="156"/>
      <c r="F71" s="37"/>
      <c r="G71" s="37"/>
      <c r="H71" s="37"/>
      <c r="I71" s="157"/>
    </row>
    <row r="72" spans="4:9" x14ac:dyDescent="0.25">
      <c r="D72" s="156"/>
      <c r="E72" s="156"/>
      <c r="F72" s="37"/>
      <c r="G72" s="37"/>
      <c r="H72" s="37"/>
      <c r="I72" s="157"/>
    </row>
    <row r="73" spans="4:9" x14ac:dyDescent="0.25">
      <c r="D73" s="156"/>
      <c r="E73" s="156"/>
      <c r="F73" s="37"/>
      <c r="G73" s="37"/>
      <c r="H73" s="37"/>
      <c r="I73" s="157"/>
    </row>
    <row r="74" spans="4:9" x14ac:dyDescent="0.25">
      <c r="D74" s="156"/>
      <c r="E74" s="156"/>
      <c r="F74" s="37"/>
      <c r="G74" s="37"/>
      <c r="H74" s="37"/>
      <c r="I74" s="157"/>
    </row>
    <row r="75" spans="4:9" x14ac:dyDescent="0.25">
      <c r="D75" s="156"/>
      <c r="E75" s="156"/>
      <c r="F75" s="37"/>
      <c r="G75" s="37"/>
      <c r="H75" s="37"/>
      <c r="I75" s="157"/>
    </row>
    <row r="76" spans="4:9" x14ac:dyDescent="0.25">
      <c r="D76" s="156"/>
      <c r="E76" s="156"/>
      <c r="F76" s="37"/>
      <c r="G76" s="37"/>
      <c r="H76" s="37"/>
      <c r="I76" s="157"/>
    </row>
  </sheetData>
  <sheetProtection algorithmName="SHA-512" hashValue="ls5we23MCjBHrc54uCKZCnezJBxEcKlK+ItJOKBFYnLXHQIoNcGH/H7sflPS7lUL4MdKwixv8ZQIc7nY1QUXBQ==" saltValue="bflERyGWSc8Ym4mdzIjjcg==" spinCount="100000" sheet="1" objects="1" scenarios="1" selectLockedCells="1" selectUnlockedCells="1"/>
  <mergeCells count="10">
    <mergeCell ref="A3:I3"/>
    <mergeCell ref="A4:I4"/>
    <mergeCell ref="C51:F51"/>
    <mergeCell ref="G51:I51"/>
    <mergeCell ref="C52:F52"/>
    <mergeCell ref="G52:I52"/>
    <mergeCell ref="B10:B11"/>
    <mergeCell ref="C10:C11"/>
    <mergeCell ref="F10:H10"/>
    <mergeCell ref="E10:E14"/>
  </mergeCells>
  <printOptions horizontalCentered="1"/>
  <pageMargins left="0.21" right="0" top="0.75" bottom="0" header="0" footer="0"/>
  <pageSetup scale="70" orientation="portrait" r:id="rId1"/>
  <headerFooter>
    <oddHeader>&amp;R&amp;D   &amp;T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M59"/>
  <sheetViews>
    <sheetView topLeftCell="A40" zoomScaleNormal="100" workbookViewId="0">
      <selection activeCell="B55" sqref="B55"/>
    </sheetView>
  </sheetViews>
  <sheetFormatPr defaultRowHeight="15" x14ac:dyDescent="0.25"/>
  <cols>
    <col min="1" max="1" width="2.85546875" style="2" customWidth="1"/>
    <col min="2" max="2" width="44.28515625" style="2" customWidth="1"/>
    <col min="3" max="3" width="13.42578125" style="2" customWidth="1"/>
    <col min="4" max="4" width="13.42578125" style="2" bestFit="1" customWidth="1"/>
    <col min="5" max="5" width="13.28515625" style="2" hidden="1" customWidth="1"/>
    <col min="6" max="6" width="13" style="2" bestFit="1" customWidth="1"/>
    <col min="7" max="7" width="14.7109375" style="2" customWidth="1"/>
    <col min="8" max="8" width="13.42578125" style="2" customWidth="1"/>
    <col min="9" max="9" width="14.7109375" style="2" bestFit="1" customWidth="1"/>
    <col min="10" max="10" width="13.85546875" style="2" customWidth="1"/>
    <col min="11" max="11" width="12.28515625" style="2" bestFit="1" customWidth="1"/>
    <col min="12" max="12" width="11.5703125" style="2" bestFit="1" customWidth="1"/>
    <col min="13" max="16384" width="9.140625" style="2"/>
  </cols>
  <sheetData>
    <row r="1" spans="1:9" x14ac:dyDescent="0.25">
      <c r="A1" s="2" t="s">
        <v>9</v>
      </c>
      <c r="I1" t="s">
        <v>27</v>
      </c>
    </row>
    <row r="3" spans="1:9" ht="15" customHeight="1" x14ac:dyDescent="0.25">
      <c r="A3" s="1106" t="s">
        <v>10</v>
      </c>
      <c r="B3" s="1106"/>
      <c r="C3" s="1106"/>
      <c r="D3" s="1106"/>
      <c r="E3" s="1106"/>
      <c r="F3" s="1106"/>
      <c r="G3" s="1106"/>
      <c r="H3" s="1106"/>
      <c r="I3" s="1106"/>
    </row>
    <row r="4" spans="1:9" ht="15" customHeight="1" x14ac:dyDescent="0.25">
      <c r="A4" s="1107" t="s">
        <v>47</v>
      </c>
      <c r="B4" s="1107"/>
      <c r="C4" s="1107"/>
      <c r="D4" s="1107"/>
      <c r="E4" s="1107"/>
      <c r="F4" s="1107"/>
      <c r="G4" s="1107"/>
      <c r="H4" s="1107"/>
      <c r="I4" s="1107"/>
    </row>
    <row r="5" spans="1:9" ht="15.75" x14ac:dyDescent="0.25"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29" t="s">
        <v>246</v>
      </c>
      <c r="B6" s="29"/>
      <c r="C6" s="29"/>
      <c r="D6" s="29"/>
      <c r="E6" s="29"/>
      <c r="F6" s="29"/>
      <c r="G6" s="29"/>
      <c r="H6" s="29"/>
      <c r="I6" s="29"/>
    </row>
    <row r="7" spans="1:9" ht="15.75" x14ac:dyDescent="0.25">
      <c r="A7" s="29" t="s">
        <v>125</v>
      </c>
      <c r="B7" s="29"/>
      <c r="C7" s="29"/>
      <c r="D7" s="29"/>
      <c r="E7" s="29"/>
      <c r="F7" s="29"/>
      <c r="G7" s="29"/>
      <c r="H7" s="29"/>
      <c r="I7" s="29"/>
    </row>
    <row r="8" spans="1:9" ht="15.75" x14ac:dyDescent="0.25">
      <c r="A8" s="29" t="s">
        <v>126</v>
      </c>
      <c r="B8" s="29"/>
      <c r="C8" s="29"/>
      <c r="D8" s="29"/>
      <c r="E8" s="29"/>
      <c r="F8" s="29"/>
      <c r="G8" s="29"/>
      <c r="H8" s="29"/>
      <c r="I8" s="29"/>
    </row>
    <row r="9" spans="1:9" ht="15.75" x14ac:dyDescent="0.25"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51"/>
      <c r="B10" s="1111" t="s">
        <v>0</v>
      </c>
      <c r="C10" s="1113" t="s">
        <v>1</v>
      </c>
      <c r="D10" s="18" t="s">
        <v>2</v>
      </c>
      <c r="E10" s="1117" t="s">
        <v>105</v>
      </c>
      <c r="F10" s="1115" t="s">
        <v>8</v>
      </c>
      <c r="G10" s="1111"/>
      <c r="H10" s="1116"/>
      <c r="I10" s="18" t="s">
        <v>3</v>
      </c>
    </row>
    <row r="11" spans="1:9" ht="55.5" customHeight="1" x14ac:dyDescent="0.25">
      <c r="A11" s="5"/>
      <c r="B11" s="1112"/>
      <c r="C11" s="1114"/>
      <c r="D11" s="1" t="s">
        <v>4</v>
      </c>
      <c r="E11" s="1118"/>
      <c r="F11" s="20" t="s">
        <v>35</v>
      </c>
      <c r="G11" s="20" t="s">
        <v>36</v>
      </c>
      <c r="H11" s="18" t="s">
        <v>5</v>
      </c>
      <c r="I11" s="1" t="s">
        <v>6</v>
      </c>
    </row>
    <row r="12" spans="1:9" x14ac:dyDescent="0.25">
      <c r="A12" s="5"/>
      <c r="B12" s="67"/>
      <c r="C12" s="1"/>
      <c r="D12" s="1"/>
      <c r="E12" s="1118"/>
      <c r="F12" s="1" t="s">
        <v>4</v>
      </c>
      <c r="G12" s="1" t="s">
        <v>7</v>
      </c>
      <c r="H12" s="1"/>
      <c r="I12" s="1"/>
    </row>
    <row r="13" spans="1:9" x14ac:dyDescent="0.25">
      <c r="A13" s="5"/>
      <c r="B13" s="67"/>
      <c r="C13" s="1"/>
      <c r="D13" s="10">
        <v>2017</v>
      </c>
      <c r="E13" s="1118"/>
      <c r="F13" s="26">
        <v>2018</v>
      </c>
      <c r="G13" s="26">
        <v>2018</v>
      </c>
      <c r="H13" s="26"/>
      <c r="I13" s="10">
        <v>2019</v>
      </c>
    </row>
    <row r="14" spans="1:9" x14ac:dyDescent="0.25">
      <c r="A14" s="33"/>
      <c r="B14" s="42">
        <v>1</v>
      </c>
      <c r="C14" s="11">
        <v>2</v>
      </c>
      <c r="D14" s="11">
        <v>3</v>
      </c>
      <c r="E14" s="1119"/>
      <c r="F14" s="11">
        <v>4</v>
      </c>
      <c r="G14" s="11">
        <v>5</v>
      </c>
      <c r="H14" s="11">
        <v>6</v>
      </c>
      <c r="I14" s="11">
        <v>7</v>
      </c>
    </row>
    <row r="15" spans="1:9" x14ac:dyDescent="0.25">
      <c r="A15" s="4" t="s">
        <v>11</v>
      </c>
      <c r="B15" s="81"/>
      <c r="C15" s="1"/>
      <c r="D15" s="1"/>
      <c r="E15" s="32"/>
      <c r="F15" s="1"/>
      <c r="G15" s="1"/>
      <c r="H15" s="1"/>
      <c r="I15" s="1"/>
    </row>
    <row r="16" spans="1:9" x14ac:dyDescent="0.25">
      <c r="A16" s="52"/>
      <c r="B16" s="57" t="s">
        <v>219</v>
      </c>
      <c r="C16" s="48" t="s">
        <v>73</v>
      </c>
      <c r="D16" s="77">
        <v>817956</v>
      </c>
      <c r="E16" s="77">
        <v>927720</v>
      </c>
      <c r="F16" s="77">
        <v>441250</v>
      </c>
      <c r="G16" s="60">
        <f>H16-F16</f>
        <v>473907.27</v>
      </c>
      <c r="H16" s="77">
        <v>915157.27</v>
      </c>
      <c r="I16" s="84">
        <f>[1]LCR!$L$32</f>
        <v>1032768</v>
      </c>
    </row>
    <row r="17" spans="1:13" x14ac:dyDescent="0.25">
      <c r="A17" s="52"/>
      <c r="B17" s="57" t="s">
        <v>220</v>
      </c>
      <c r="C17" s="48" t="s">
        <v>86</v>
      </c>
      <c r="D17" s="77">
        <v>50240</v>
      </c>
      <c r="E17" s="69">
        <v>55600</v>
      </c>
      <c r="F17" s="77">
        <v>31500</v>
      </c>
      <c r="G17" s="60">
        <f t="shared" ref="G17:G29" si="0">H17-F17</f>
        <v>24080</v>
      </c>
      <c r="H17" s="77">
        <v>55580</v>
      </c>
      <c r="I17" s="85">
        <f>[1]LCR!$M$32</f>
        <v>55600</v>
      </c>
    </row>
    <row r="18" spans="1:13" x14ac:dyDescent="0.25">
      <c r="A18" s="52"/>
      <c r="B18" s="70" t="s">
        <v>221</v>
      </c>
      <c r="C18" s="49" t="s">
        <v>74</v>
      </c>
      <c r="D18" s="77">
        <v>72000</v>
      </c>
      <c r="E18" s="77">
        <v>72000</v>
      </c>
      <c r="F18" s="77">
        <v>24000</v>
      </c>
      <c r="G18" s="60">
        <f t="shared" si="0"/>
        <v>36000</v>
      </c>
      <c r="H18" s="77">
        <v>60000</v>
      </c>
      <c r="I18" s="84">
        <f>[1]LCR!$N$32</f>
        <v>72000</v>
      </c>
    </row>
    <row r="19" spans="1:13" x14ac:dyDescent="0.25">
      <c r="A19" s="52"/>
      <c r="B19" s="70" t="s">
        <v>224</v>
      </c>
      <c r="C19" s="49" t="s">
        <v>75</v>
      </c>
      <c r="D19" s="77">
        <v>67500</v>
      </c>
      <c r="E19" s="77">
        <v>67500</v>
      </c>
      <c r="F19" s="77">
        <v>33750</v>
      </c>
      <c r="G19" s="60">
        <f t="shared" si="0"/>
        <v>33750</v>
      </c>
      <c r="H19" s="77">
        <v>67500</v>
      </c>
      <c r="I19" s="84">
        <f>[1]LCR!$O$32</f>
        <v>67500</v>
      </c>
    </row>
    <row r="20" spans="1:13" x14ac:dyDescent="0.25">
      <c r="A20" s="52"/>
      <c r="B20" s="70" t="s">
        <v>223</v>
      </c>
      <c r="C20" s="49" t="s">
        <v>76</v>
      </c>
      <c r="D20" s="77">
        <v>67500</v>
      </c>
      <c r="E20" s="77">
        <v>67500</v>
      </c>
      <c r="F20" s="77">
        <v>33750</v>
      </c>
      <c r="G20" s="60">
        <f t="shared" si="0"/>
        <v>33750</v>
      </c>
      <c r="H20" s="77">
        <v>67500</v>
      </c>
      <c r="I20" s="84">
        <f>[1]LCR!$P$32</f>
        <v>67500</v>
      </c>
    </row>
    <row r="21" spans="1:13" x14ac:dyDescent="0.25">
      <c r="A21" s="52"/>
      <c r="B21" s="70" t="s">
        <v>222</v>
      </c>
      <c r="C21" s="49" t="s">
        <v>77</v>
      </c>
      <c r="D21" s="77">
        <v>15000</v>
      </c>
      <c r="E21" s="77">
        <v>15000</v>
      </c>
      <c r="F21" s="77"/>
      <c r="G21" s="60">
        <f t="shared" si="0"/>
        <v>18000</v>
      </c>
      <c r="H21" s="77">
        <v>18000</v>
      </c>
      <c r="I21" s="84">
        <f>[1]LCR!$Q$32</f>
        <v>18000</v>
      </c>
    </row>
    <row r="22" spans="1:13" x14ac:dyDescent="0.25">
      <c r="A22" s="52"/>
      <c r="B22" s="70" t="s">
        <v>225</v>
      </c>
      <c r="C22" s="49" t="s">
        <v>78</v>
      </c>
      <c r="D22" s="58">
        <v>15000</v>
      </c>
      <c r="E22" s="69">
        <v>15000</v>
      </c>
      <c r="F22" s="77"/>
      <c r="G22" s="60">
        <f t="shared" si="0"/>
        <v>15000</v>
      </c>
      <c r="H22" s="77">
        <v>15000</v>
      </c>
      <c r="I22" s="86">
        <f>[1]LCR!$R$32</f>
        <v>15000</v>
      </c>
    </row>
    <row r="23" spans="1:13" x14ac:dyDescent="0.25">
      <c r="A23" s="52"/>
      <c r="B23" s="70" t="s">
        <v>226</v>
      </c>
      <c r="C23" s="49" t="s">
        <v>80</v>
      </c>
      <c r="D23" s="77">
        <f>68053+68053</f>
        <v>136106</v>
      </c>
      <c r="E23" s="77">
        <f>77310+77310</f>
        <v>154620</v>
      </c>
      <c r="F23" s="77">
        <v>76286</v>
      </c>
      <c r="G23" s="60">
        <f>H23-F23</f>
        <v>76286</v>
      </c>
      <c r="H23" s="77">
        <v>152572</v>
      </c>
      <c r="I23" s="84">
        <f>[1]LCR!$S$32</f>
        <v>172128</v>
      </c>
      <c r="K23" s="582"/>
      <c r="L23" s="19"/>
      <c r="M23" s="19"/>
    </row>
    <row r="24" spans="1:13" x14ac:dyDescent="0.25">
      <c r="A24" s="52"/>
      <c r="B24" s="70" t="s">
        <v>227</v>
      </c>
      <c r="C24" s="49" t="s">
        <v>79</v>
      </c>
      <c r="D24" s="77">
        <v>15000</v>
      </c>
      <c r="E24" s="77">
        <v>15000</v>
      </c>
      <c r="F24" s="77"/>
      <c r="G24" s="60">
        <f t="shared" si="0"/>
        <v>15000</v>
      </c>
      <c r="H24" s="77">
        <v>15000</v>
      </c>
      <c r="I24" s="84">
        <f>[1]LCR!$T$32</f>
        <v>15000</v>
      </c>
      <c r="K24" s="582"/>
      <c r="L24" s="583"/>
      <c r="M24" s="19"/>
    </row>
    <row r="25" spans="1:13" x14ac:dyDescent="0.25">
      <c r="A25" s="52"/>
      <c r="B25" s="70" t="s">
        <v>228</v>
      </c>
      <c r="C25" s="49" t="s">
        <v>81</v>
      </c>
      <c r="D25" s="77">
        <v>98154.72</v>
      </c>
      <c r="E25" s="77">
        <v>111326.39999999999</v>
      </c>
      <c r="F25" s="77">
        <v>53266.8</v>
      </c>
      <c r="G25" s="60">
        <f t="shared" si="0"/>
        <v>56869.17</v>
      </c>
      <c r="H25" s="77">
        <v>110135.97</v>
      </c>
      <c r="I25" s="84">
        <f>[1]LCR!$U$32</f>
        <v>123932.15999999999</v>
      </c>
      <c r="K25" s="19"/>
      <c r="L25" s="19"/>
      <c r="M25" s="19"/>
    </row>
    <row r="26" spans="1:13" x14ac:dyDescent="0.25">
      <c r="A26" s="52"/>
      <c r="B26" s="70" t="s">
        <v>229</v>
      </c>
      <c r="C26" s="49" t="s">
        <v>82</v>
      </c>
      <c r="D26" s="77">
        <v>3600</v>
      </c>
      <c r="E26" s="77">
        <v>3600</v>
      </c>
      <c r="F26" s="77">
        <v>1800</v>
      </c>
      <c r="G26" s="60">
        <f t="shared" si="0"/>
        <v>1800</v>
      </c>
      <c r="H26" s="77">
        <v>3600</v>
      </c>
      <c r="I26" s="84">
        <f>[1]LCR!$V$32</f>
        <v>3600</v>
      </c>
      <c r="K26" s="19"/>
      <c r="L26" s="19"/>
      <c r="M26" s="19"/>
    </row>
    <row r="27" spans="1:13" x14ac:dyDescent="0.25">
      <c r="A27" s="52"/>
      <c r="B27" s="70" t="s">
        <v>230</v>
      </c>
      <c r="C27" s="49" t="s">
        <v>83</v>
      </c>
      <c r="D27" s="77">
        <v>8100</v>
      </c>
      <c r="E27" s="77">
        <v>8100</v>
      </c>
      <c r="F27" s="77">
        <v>5486.64</v>
      </c>
      <c r="G27" s="60">
        <f t="shared" si="0"/>
        <v>4336.8599999999997</v>
      </c>
      <c r="H27" s="77">
        <v>9823.5</v>
      </c>
      <c r="I27" s="84">
        <f>[1]LCR!$W$32</f>
        <v>10139.415000000001</v>
      </c>
      <c r="K27" s="19"/>
      <c r="L27" s="19"/>
      <c r="M27" s="19"/>
    </row>
    <row r="28" spans="1:13" x14ac:dyDescent="0.25">
      <c r="A28" s="52"/>
      <c r="B28" s="70" t="s">
        <v>231</v>
      </c>
      <c r="C28" s="49" t="s">
        <v>84</v>
      </c>
      <c r="D28" s="77">
        <v>3332.1</v>
      </c>
      <c r="E28" s="77">
        <v>9277.2000000000007</v>
      </c>
      <c r="F28" s="77">
        <v>1681.8</v>
      </c>
      <c r="G28" s="60">
        <f t="shared" si="0"/>
        <v>2513.7600000000002</v>
      </c>
      <c r="H28" s="77">
        <v>4195.5600000000004</v>
      </c>
      <c r="I28" s="84">
        <f>[1]LCR!$X$32</f>
        <v>10327.68</v>
      </c>
      <c r="K28" s="19"/>
      <c r="L28" s="19"/>
      <c r="M28" s="19"/>
    </row>
    <row r="29" spans="1:13" x14ac:dyDescent="0.25">
      <c r="A29" s="53"/>
      <c r="B29" s="71" t="s">
        <v>233</v>
      </c>
      <c r="C29" s="50" t="s">
        <v>85</v>
      </c>
      <c r="D29" s="78">
        <v>19027.439999999999</v>
      </c>
      <c r="E29" s="78">
        <v>74515.55</v>
      </c>
      <c r="F29" s="78">
        <v>73528.570000000007</v>
      </c>
      <c r="G29" s="65">
        <f t="shared" si="0"/>
        <v>9000</v>
      </c>
      <c r="H29" s="78">
        <v>82528.570000000007</v>
      </c>
      <c r="I29" s="87">
        <f>[1]LCR!$Z$32</f>
        <v>82953.130655999994</v>
      </c>
      <c r="K29" s="19"/>
      <c r="L29" s="19"/>
      <c r="M29" s="19"/>
    </row>
    <row r="30" spans="1:13" x14ac:dyDescent="0.25">
      <c r="A30" s="68" t="s">
        <v>71</v>
      </c>
      <c r="B30" s="82"/>
      <c r="C30" s="7"/>
      <c r="D30" s="8">
        <f t="shared" ref="D30:I30" si="1">SUM(D16:D29)</f>
        <v>1388516.26</v>
      </c>
      <c r="E30" s="8">
        <f t="shared" si="1"/>
        <v>1596759.15</v>
      </c>
      <c r="F30" s="8">
        <f t="shared" si="1"/>
        <v>776299.81</v>
      </c>
      <c r="G30" s="8">
        <f t="shared" si="1"/>
        <v>800293.06</v>
      </c>
      <c r="H30" s="8">
        <f t="shared" si="1"/>
        <v>1576592.87</v>
      </c>
      <c r="I30" s="8">
        <f t="shared" si="1"/>
        <v>1746448.3856559999</v>
      </c>
      <c r="J30" s="12"/>
      <c r="K30" s="584"/>
      <c r="L30" s="19"/>
      <c r="M30" s="19"/>
    </row>
    <row r="31" spans="1:13" x14ac:dyDescent="0.25">
      <c r="A31" s="6" t="s">
        <v>14</v>
      </c>
      <c r="B31" s="55"/>
      <c r="C31" s="3"/>
      <c r="D31" s="3"/>
      <c r="E31" s="3"/>
      <c r="F31" s="3"/>
      <c r="G31" s="3"/>
      <c r="H31" s="3"/>
      <c r="I31" s="3"/>
      <c r="K31" s="19"/>
      <c r="L31" s="19"/>
      <c r="M31" s="19"/>
    </row>
    <row r="32" spans="1:13" x14ac:dyDescent="0.25">
      <c r="A32" s="52"/>
      <c r="B32" s="57" t="s">
        <v>234</v>
      </c>
      <c r="C32" s="48" t="s">
        <v>92</v>
      </c>
      <c r="D32" s="61">
        <v>57026</v>
      </c>
      <c r="E32" s="72">
        <v>50000</v>
      </c>
      <c r="F32" s="59">
        <v>24375</v>
      </c>
      <c r="G32" s="61">
        <f>H32-F32</f>
        <v>17075</v>
      </c>
      <c r="H32" s="61">
        <v>41450</v>
      </c>
      <c r="I32" s="72">
        <v>55000</v>
      </c>
      <c r="K32" s="19"/>
      <c r="L32" s="19"/>
      <c r="M32" s="19"/>
    </row>
    <row r="33" spans="1:13" x14ac:dyDescent="0.25">
      <c r="A33" s="52"/>
      <c r="B33" s="57" t="s">
        <v>235</v>
      </c>
      <c r="C33" s="48" t="s">
        <v>93</v>
      </c>
      <c r="D33" s="61">
        <v>26980</v>
      </c>
      <c r="E33" s="72">
        <v>30000</v>
      </c>
      <c r="F33" s="59"/>
      <c r="G33" s="61">
        <f>H33-F33</f>
        <v>22610</v>
      </c>
      <c r="H33" s="61">
        <v>22610</v>
      </c>
      <c r="I33" s="72">
        <v>40000</v>
      </c>
      <c r="K33" s="19"/>
      <c r="L33" s="19"/>
      <c r="M33" s="19"/>
    </row>
    <row r="34" spans="1:13" x14ac:dyDescent="0.25">
      <c r="A34" s="52"/>
      <c r="B34" s="57" t="s">
        <v>236</v>
      </c>
      <c r="C34" s="48" t="s">
        <v>94</v>
      </c>
      <c r="D34" s="61">
        <v>34352.839999999997</v>
      </c>
      <c r="E34" s="72">
        <v>35000</v>
      </c>
      <c r="F34" s="59">
        <v>7315.72</v>
      </c>
      <c r="G34" s="61">
        <f>H34-F34</f>
        <v>29470.159999999996</v>
      </c>
      <c r="H34" s="61">
        <v>36785.879999999997</v>
      </c>
      <c r="I34" s="72">
        <v>40000</v>
      </c>
      <c r="K34" s="19"/>
      <c r="L34" s="19"/>
      <c r="M34" s="19"/>
    </row>
    <row r="35" spans="1:13" x14ac:dyDescent="0.25">
      <c r="A35" s="52"/>
      <c r="B35" s="62" t="s">
        <v>268</v>
      </c>
      <c r="C35" s="48" t="s">
        <v>98</v>
      </c>
      <c r="D35" s="58"/>
      <c r="E35" s="58"/>
      <c r="F35" s="59"/>
      <c r="G35" s="61"/>
      <c r="H35" s="61"/>
      <c r="I35" s="72"/>
      <c r="K35" s="19"/>
      <c r="L35" s="19"/>
      <c r="M35" s="19"/>
    </row>
    <row r="36" spans="1:13" x14ac:dyDescent="0.25">
      <c r="A36" s="52"/>
      <c r="B36" s="57" t="s">
        <v>237</v>
      </c>
      <c r="C36" s="48" t="s">
        <v>95</v>
      </c>
      <c r="D36" s="61">
        <v>12219.23</v>
      </c>
      <c r="E36" s="72">
        <v>20000</v>
      </c>
      <c r="F36" s="59">
        <v>9890.4699999999993</v>
      </c>
      <c r="G36" s="61">
        <f t="shared" ref="G36:G39" si="2">H36-F36</f>
        <v>16662.800000000003</v>
      </c>
      <c r="H36" s="61">
        <v>26553.27</v>
      </c>
      <c r="I36" s="72">
        <v>24000</v>
      </c>
      <c r="K36" s="19"/>
      <c r="L36" s="19"/>
      <c r="M36" s="19"/>
    </row>
    <row r="37" spans="1:13" x14ac:dyDescent="0.25">
      <c r="A37" s="52"/>
      <c r="B37" s="88" t="s">
        <v>238</v>
      </c>
      <c r="C37" s="48" t="s">
        <v>118</v>
      </c>
      <c r="D37" s="61"/>
      <c r="E37" s="72"/>
      <c r="F37" s="59"/>
      <c r="G37" s="61"/>
      <c r="H37" s="61"/>
      <c r="I37" s="72">
        <v>16800</v>
      </c>
      <c r="K37" s="19"/>
      <c r="L37" s="19"/>
      <c r="M37" s="19"/>
    </row>
    <row r="38" spans="1:13" x14ac:dyDescent="0.25">
      <c r="A38" s="52"/>
      <c r="B38" s="57" t="s">
        <v>255</v>
      </c>
      <c r="C38" s="89" t="s">
        <v>96</v>
      </c>
      <c r="D38" s="61">
        <v>26225</v>
      </c>
      <c r="E38" s="72">
        <v>50000</v>
      </c>
      <c r="F38" s="59">
        <v>6680</v>
      </c>
      <c r="G38" s="61">
        <f t="shared" si="2"/>
        <v>24509.02</v>
      </c>
      <c r="H38" s="61">
        <v>31189.02</v>
      </c>
      <c r="I38" s="72">
        <v>68480</v>
      </c>
      <c r="K38" s="19"/>
      <c r="L38" s="19"/>
      <c r="M38" s="19"/>
    </row>
    <row r="39" spans="1:13" x14ac:dyDescent="0.25">
      <c r="A39" s="53"/>
      <c r="B39" s="63" t="s">
        <v>240</v>
      </c>
      <c r="C39" s="73" t="s">
        <v>97</v>
      </c>
      <c r="D39" s="66">
        <v>2850</v>
      </c>
      <c r="E39" s="90">
        <v>5000</v>
      </c>
      <c r="F39" s="64">
        <v>1300</v>
      </c>
      <c r="G39" s="66">
        <f t="shared" si="2"/>
        <v>2582</v>
      </c>
      <c r="H39" s="66">
        <v>3882</v>
      </c>
      <c r="I39" s="90">
        <v>10000</v>
      </c>
      <c r="K39" s="19"/>
      <c r="L39" s="19"/>
      <c r="M39" s="19"/>
    </row>
    <row r="40" spans="1:13" x14ac:dyDescent="0.25">
      <c r="A40" s="14" t="s">
        <v>68</v>
      </c>
      <c r="B40" s="22"/>
      <c r="C40" s="7"/>
      <c r="D40" s="8">
        <f>SUM(D32:D39)</f>
        <v>159653.07</v>
      </c>
      <c r="E40" s="8">
        <f t="shared" ref="E40:H40" si="3">SUM(E32:E39)</f>
        <v>190000</v>
      </c>
      <c r="F40" s="8">
        <f t="shared" si="3"/>
        <v>49561.19</v>
      </c>
      <c r="G40" s="8">
        <f t="shared" si="3"/>
        <v>112908.98000000001</v>
      </c>
      <c r="H40" s="8">
        <f t="shared" si="3"/>
        <v>162470.17000000001</v>
      </c>
      <c r="I40" s="8">
        <f>SUM(I32:I39)</f>
        <v>254280</v>
      </c>
      <c r="K40" s="19"/>
      <c r="L40" s="19"/>
      <c r="M40" s="19"/>
    </row>
    <row r="41" spans="1:13" x14ac:dyDescent="0.25">
      <c r="A41" s="34" t="s">
        <v>13</v>
      </c>
      <c r="B41" s="56"/>
      <c r="C41" s="35"/>
      <c r="D41" s="27"/>
      <c r="E41" s="27"/>
      <c r="F41" s="27"/>
      <c r="G41" s="27"/>
      <c r="H41" s="27"/>
      <c r="I41" s="27"/>
      <c r="K41" s="19"/>
      <c r="L41" s="19"/>
      <c r="M41" s="19"/>
    </row>
    <row r="42" spans="1:13" x14ac:dyDescent="0.25">
      <c r="A42" s="52"/>
      <c r="B42" s="57" t="s">
        <v>243</v>
      </c>
      <c r="C42" s="74" t="s">
        <v>110</v>
      </c>
      <c r="D42" s="91"/>
      <c r="E42" s="91"/>
      <c r="F42" s="92"/>
      <c r="G42" s="92"/>
      <c r="H42" s="92"/>
      <c r="I42" s="93">
        <v>60000</v>
      </c>
      <c r="K42" s="19"/>
      <c r="L42" s="19"/>
      <c r="M42" s="19"/>
    </row>
    <row r="43" spans="1:13" x14ac:dyDescent="0.25">
      <c r="A43" s="52"/>
      <c r="B43" s="57" t="s">
        <v>244</v>
      </c>
      <c r="C43" s="75" t="s">
        <v>108</v>
      </c>
      <c r="D43" s="92"/>
      <c r="E43" s="92"/>
      <c r="F43" s="92"/>
      <c r="G43" s="92"/>
      <c r="H43" s="92"/>
      <c r="I43" s="92">
        <v>57720</v>
      </c>
      <c r="K43" s="19"/>
      <c r="L43" s="19"/>
      <c r="M43" s="19"/>
    </row>
    <row r="44" spans="1:13" x14ac:dyDescent="0.25">
      <c r="A44" s="53"/>
      <c r="B44" s="94" t="s">
        <v>245</v>
      </c>
      <c r="C44" s="76" t="s">
        <v>107</v>
      </c>
      <c r="D44" s="95"/>
      <c r="E44" s="95"/>
      <c r="F44" s="95"/>
      <c r="G44" s="95"/>
      <c r="H44" s="95"/>
      <c r="I44" s="95"/>
      <c r="K44" s="19"/>
      <c r="L44" s="19"/>
      <c r="M44" s="19"/>
    </row>
    <row r="45" spans="1:13" x14ac:dyDescent="0.25">
      <c r="A45" s="14" t="s">
        <v>72</v>
      </c>
      <c r="B45" s="22"/>
      <c r="C45" s="7"/>
      <c r="D45" s="8">
        <f>SUM(D42:D44)</f>
        <v>0</v>
      </c>
      <c r="E45" s="8">
        <f t="shared" ref="E45:H45" si="4">SUM(E42:E44)</f>
        <v>0</v>
      </c>
      <c r="F45" s="8">
        <f t="shared" si="4"/>
        <v>0</v>
      </c>
      <c r="G45" s="8">
        <f t="shared" si="4"/>
        <v>0</v>
      </c>
      <c r="H45" s="8">
        <f t="shared" si="4"/>
        <v>0</v>
      </c>
      <c r="I45" s="8">
        <f>SUM(I42:I44)</f>
        <v>117720</v>
      </c>
      <c r="K45" s="19"/>
      <c r="L45" s="19"/>
      <c r="M45" s="19"/>
    </row>
    <row r="46" spans="1:13" x14ac:dyDescent="0.25">
      <c r="A46" s="83" t="s">
        <v>20</v>
      </c>
      <c r="B46" s="46"/>
      <c r="C46" s="13"/>
      <c r="D46" s="15">
        <f>D30+D40+D45</f>
        <v>1548169.33</v>
      </c>
      <c r="E46" s="15">
        <f t="shared" ref="E46:I46" si="5">E30+E40+E45</f>
        <v>1786759.15</v>
      </c>
      <c r="F46" s="15">
        <f t="shared" si="5"/>
        <v>825861</v>
      </c>
      <c r="G46" s="15">
        <f t="shared" si="5"/>
        <v>913202.04</v>
      </c>
      <c r="H46" s="15">
        <f t="shared" si="5"/>
        <v>1739063.04</v>
      </c>
      <c r="I46" s="15">
        <f t="shared" si="5"/>
        <v>2118448.3856560001</v>
      </c>
      <c r="J46" s="581"/>
      <c r="K46" s="19"/>
      <c r="L46" s="19"/>
      <c r="M46" s="19"/>
    </row>
    <row r="47" spans="1:13" x14ac:dyDescent="0.25">
      <c r="B47" s="17"/>
      <c r="C47" s="19"/>
      <c r="D47" s="21"/>
      <c r="E47" s="21"/>
      <c r="F47" s="21"/>
      <c r="G47" s="24"/>
      <c r="H47" s="24"/>
      <c r="I47" s="24"/>
      <c r="J47" s="21"/>
      <c r="K47" s="19"/>
      <c r="L47" s="19"/>
      <c r="M47" s="19"/>
    </row>
    <row r="48" spans="1:13" x14ac:dyDescent="0.25">
      <c r="B48" s="38" t="s">
        <v>22</v>
      </c>
      <c r="C48" s="2" t="s">
        <v>23</v>
      </c>
      <c r="F48" s="23"/>
      <c r="G48" s="2" t="s">
        <v>24</v>
      </c>
      <c r="J48" s="9"/>
      <c r="K48" s="19"/>
      <c r="L48" s="19"/>
      <c r="M48" s="19"/>
    </row>
    <row r="49" spans="2:13" x14ac:dyDescent="0.25">
      <c r="F49" s="23"/>
      <c r="J49" s="9"/>
      <c r="K49" s="19"/>
      <c r="L49" s="19"/>
      <c r="M49" s="19"/>
    </row>
    <row r="50" spans="2:13" ht="15" customHeight="1" x14ac:dyDescent="0.25">
      <c r="B50" s="39" t="s">
        <v>127</v>
      </c>
      <c r="C50" s="1110" t="s">
        <v>51</v>
      </c>
      <c r="D50" s="1110"/>
      <c r="E50" s="1110"/>
      <c r="F50" s="1110"/>
      <c r="G50" s="1108" t="s">
        <v>117</v>
      </c>
      <c r="H50" s="1108"/>
      <c r="I50" s="1108"/>
      <c r="J50" s="40"/>
      <c r="K50" s="19"/>
      <c r="L50" s="19"/>
      <c r="M50" s="19"/>
    </row>
    <row r="51" spans="2:13" x14ac:dyDescent="0.25">
      <c r="B51" s="31" t="s">
        <v>63</v>
      </c>
      <c r="C51" s="1109" t="s">
        <v>64</v>
      </c>
      <c r="D51" s="1109"/>
      <c r="E51" s="1109"/>
      <c r="F51" s="1109"/>
      <c r="G51" s="1109" t="s">
        <v>67</v>
      </c>
      <c r="H51" s="1109"/>
      <c r="I51" s="1109"/>
      <c r="J51" s="38"/>
      <c r="K51" s="19"/>
      <c r="L51" s="19"/>
      <c r="M51" s="19"/>
    </row>
    <row r="52" spans="2:13" x14ac:dyDescent="0.25">
      <c r="K52" s="19"/>
      <c r="L52" s="19"/>
      <c r="M52" s="19"/>
    </row>
    <row r="53" spans="2:13" x14ac:dyDescent="0.25">
      <c r="K53" s="19"/>
      <c r="L53" s="19"/>
      <c r="M53" s="19"/>
    </row>
    <row r="54" spans="2:13" x14ac:dyDescent="0.25">
      <c r="C54" s="16"/>
      <c r="D54" s="16"/>
      <c r="E54" s="16"/>
      <c r="F54" s="16"/>
      <c r="G54" s="16"/>
      <c r="H54" s="16"/>
      <c r="I54" s="16"/>
      <c r="K54" s="19"/>
      <c r="L54" s="19"/>
      <c r="M54" s="19"/>
    </row>
    <row r="55" spans="2:13" x14ac:dyDescent="0.25">
      <c r="C55" s="16"/>
      <c r="D55" s="16"/>
      <c r="E55" s="16"/>
      <c r="F55" s="16"/>
      <c r="G55" s="16"/>
      <c r="H55" s="16"/>
      <c r="I55" s="16"/>
      <c r="K55" s="19"/>
      <c r="L55" s="19"/>
      <c r="M55" s="19"/>
    </row>
    <row r="56" spans="2:13" x14ac:dyDescent="0.25">
      <c r="C56" s="16"/>
      <c r="D56" s="16"/>
      <c r="E56" s="16"/>
      <c r="F56" s="16"/>
      <c r="G56" s="16"/>
      <c r="H56" s="16"/>
      <c r="I56" s="16"/>
    </row>
    <row r="57" spans="2:13" x14ac:dyDescent="0.25">
      <c r="C57" s="16"/>
      <c r="D57" s="16"/>
      <c r="E57" s="16"/>
      <c r="F57" s="16"/>
      <c r="G57" s="16"/>
      <c r="H57" s="16"/>
      <c r="I57" s="16"/>
    </row>
    <row r="58" spans="2:13" x14ac:dyDescent="0.25">
      <c r="C58" s="16"/>
      <c r="D58" s="16"/>
      <c r="E58" s="16"/>
      <c r="F58" s="16"/>
      <c r="G58" s="16"/>
      <c r="H58" s="16"/>
      <c r="I58" s="16"/>
    </row>
    <row r="59" spans="2:13" x14ac:dyDescent="0.25">
      <c r="C59" s="16"/>
      <c r="D59" s="16"/>
      <c r="E59" s="16"/>
      <c r="F59" s="16"/>
      <c r="G59" s="16"/>
      <c r="H59" s="16"/>
      <c r="I59" s="16"/>
    </row>
  </sheetData>
  <sheetProtection algorithmName="SHA-512" hashValue="br4PvJheNI84xq/TG1y9M0GMnnyceCzVFF9XCY2/ML/HYiNoQ0vjGPpEbEusVioy/QCCOdRhPZa0q1f/0LPR+w==" saltValue="C6+EHu3UdMAe0MIp6OlppA==" spinCount="100000" sheet="1" objects="1" scenarios="1" selectLockedCells="1" selectUnlockedCells="1"/>
  <mergeCells count="10">
    <mergeCell ref="A3:I3"/>
    <mergeCell ref="A4:I4"/>
    <mergeCell ref="G50:I50"/>
    <mergeCell ref="G51:I51"/>
    <mergeCell ref="C50:F50"/>
    <mergeCell ref="C51:F51"/>
    <mergeCell ref="B10:B11"/>
    <mergeCell ref="C10:C11"/>
    <mergeCell ref="F10:H10"/>
    <mergeCell ref="E10:E14"/>
  </mergeCells>
  <printOptions horizontalCentered="1"/>
  <pageMargins left="0.46" right="0.25" top="0.75" bottom="0.69" header="0" footer="0"/>
  <pageSetup paperSize="5" scale="76" orientation="portrait" r:id="rId1"/>
  <headerFooter>
    <oddHeader>&amp;R&amp;D &amp;  [Time]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P53"/>
  <sheetViews>
    <sheetView topLeftCell="A28" zoomScale="110" zoomScaleNormal="110" zoomScaleSheetLayoutView="100" workbookViewId="0">
      <selection activeCell="B51" sqref="B51"/>
    </sheetView>
  </sheetViews>
  <sheetFormatPr defaultRowHeight="15" x14ac:dyDescent="0.25"/>
  <cols>
    <col min="1" max="1" width="2.85546875" style="41" customWidth="1"/>
    <col min="2" max="2" width="44.28515625" style="41" customWidth="1"/>
    <col min="3" max="4" width="13.42578125" style="41" customWidth="1"/>
    <col min="5" max="5" width="13.42578125" style="41" hidden="1" customWidth="1"/>
    <col min="6" max="9" width="13.42578125" style="41" customWidth="1"/>
    <col min="10" max="10" width="16" style="41" customWidth="1"/>
    <col min="11" max="11" width="14.7109375" style="41" customWidth="1"/>
    <col min="12" max="15" width="9.140625" style="41"/>
    <col min="16" max="16" width="11.5703125" style="157" bestFit="1" customWidth="1"/>
    <col min="17" max="16384" width="9.140625" style="41"/>
  </cols>
  <sheetData>
    <row r="1" spans="1:16" x14ac:dyDescent="0.25">
      <c r="A1" s="41" t="s">
        <v>9</v>
      </c>
      <c r="I1" s="41" t="s">
        <v>27</v>
      </c>
    </row>
    <row r="3" spans="1:16" s="118" customFormat="1" ht="15.75" customHeight="1" x14ac:dyDescent="0.25">
      <c r="A3" s="1123" t="s">
        <v>10</v>
      </c>
      <c r="B3" s="1123"/>
      <c r="C3" s="1123"/>
      <c r="D3" s="1123"/>
      <c r="E3" s="1123"/>
      <c r="F3" s="1123"/>
      <c r="G3" s="1123"/>
      <c r="H3" s="1123"/>
      <c r="I3" s="1123"/>
      <c r="P3" s="585"/>
    </row>
    <row r="4" spans="1:16" s="118" customFormat="1" ht="15.75" x14ac:dyDescent="0.25">
      <c r="A4" s="1067" t="s">
        <v>47</v>
      </c>
      <c r="B4" s="1067"/>
      <c r="C4" s="1067"/>
      <c r="D4" s="1067"/>
      <c r="E4" s="1067"/>
      <c r="F4" s="1067"/>
      <c r="G4" s="1067"/>
      <c r="H4" s="1067"/>
      <c r="I4" s="1067"/>
      <c r="P4" s="585"/>
    </row>
    <row r="5" spans="1:16" s="118" customFormat="1" ht="15.75" x14ac:dyDescent="0.25">
      <c r="B5" s="586"/>
      <c r="P5" s="585"/>
    </row>
    <row r="6" spans="1:16" s="118" customFormat="1" ht="15.75" x14ac:dyDescent="0.25">
      <c r="A6" s="118" t="s">
        <v>129</v>
      </c>
      <c r="P6" s="585"/>
    </row>
    <row r="7" spans="1:16" s="118" customFormat="1" ht="15.75" x14ac:dyDescent="0.25">
      <c r="A7" s="118" t="s">
        <v>130</v>
      </c>
      <c r="P7" s="585"/>
    </row>
    <row r="8" spans="1:16" s="118" customFormat="1" ht="15.75" x14ac:dyDescent="0.25">
      <c r="A8" s="118" t="s">
        <v>131</v>
      </c>
      <c r="P8" s="585"/>
    </row>
    <row r="9" spans="1:16" ht="18.75" x14ac:dyDescent="0.3">
      <c r="B9" s="532"/>
      <c r="C9" s="532"/>
      <c r="D9" s="532"/>
      <c r="E9" s="532"/>
      <c r="F9" s="532"/>
      <c r="G9" s="532"/>
      <c r="H9" s="532"/>
      <c r="I9" s="532"/>
    </row>
    <row r="10" spans="1:16" x14ac:dyDescent="0.25">
      <c r="A10" s="1124" t="s">
        <v>0</v>
      </c>
      <c r="B10" s="1125"/>
      <c r="C10" s="1120" t="s">
        <v>1</v>
      </c>
      <c r="D10" s="212" t="s">
        <v>2</v>
      </c>
      <c r="E10" s="1082" t="s">
        <v>105</v>
      </c>
      <c r="F10" s="1122" t="s">
        <v>8</v>
      </c>
      <c r="G10" s="1122"/>
      <c r="H10" s="1122"/>
      <c r="I10" s="212" t="s">
        <v>3</v>
      </c>
    </row>
    <row r="11" spans="1:16" ht="55.5" customHeight="1" x14ac:dyDescent="0.25">
      <c r="A11" s="1126"/>
      <c r="B11" s="1127"/>
      <c r="C11" s="1121"/>
      <c r="D11" s="213" t="s">
        <v>4</v>
      </c>
      <c r="E11" s="1083"/>
      <c r="F11" s="587" t="s">
        <v>37</v>
      </c>
      <c r="G11" s="587" t="s">
        <v>30</v>
      </c>
      <c r="H11" s="213" t="s">
        <v>5</v>
      </c>
      <c r="I11" s="213" t="s">
        <v>6</v>
      </c>
    </row>
    <row r="12" spans="1:16" x14ac:dyDescent="0.25">
      <c r="A12" s="588"/>
      <c r="B12" s="589"/>
      <c r="C12" s="213"/>
      <c r="D12" s="213"/>
      <c r="E12" s="1083"/>
      <c r="F12" s="213" t="s">
        <v>4</v>
      </c>
      <c r="G12" s="213" t="s">
        <v>7</v>
      </c>
      <c r="H12" s="213"/>
      <c r="I12" s="213"/>
    </row>
    <row r="13" spans="1:16" x14ac:dyDescent="0.25">
      <c r="A13" s="588"/>
      <c r="B13" s="589"/>
      <c r="C13" s="213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16" x14ac:dyDescent="0.25">
      <c r="A14" s="590"/>
      <c r="B14" s="132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16" x14ac:dyDescent="0.25">
      <c r="A15" s="591" t="s">
        <v>11</v>
      </c>
      <c r="B15" s="592"/>
      <c r="C15" s="213"/>
      <c r="D15" s="213"/>
      <c r="E15" s="213"/>
      <c r="F15" s="213"/>
      <c r="G15" s="213"/>
      <c r="H15" s="213"/>
      <c r="I15" s="213"/>
    </row>
    <row r="16" spans="1:16" x14ac:dyDescent="0.25">
      <c r="A16" s="100"/>
      <c r="B16" s="105" t="s">
        <v>219</v>
      </c>
      <c r="C16" s="89" t="s">
        <v>73</v>
      </c>
      <c r="D16" s="98">
        <v>496400</v>
      </c>
      <c r="E16" s="98">
        <v>793680</v>
      </c>
      <c r="F16" s="98">
        <v>325816</v>
      </c>
      <c r="G16" s="550">
        <f>H16-F16</f>
        <v>353792</v>
      </c>
      <c r="H16" s="98">
        <v>679608</v>
      </c>
      <c r="I16" s="550">
        <f>[1]MBO!$L$32</f>
        <v>906948</v>
      </c>
      <c r="J16" s="593"/>
    </row>
    <row r="17" spans="1:11" x14ac:dyDescent="0.25">
      <c r="A17" s="100"/>
      <c r="B17" s="105" t="s">
        <v>220</v>
      </c>
      <c r="C17" s="89" t="s">
        <v>86</v>
      </c>
      <c r="D17" s="98">
        <v>49785</v>
      </c>
      <c r="E17" s="98">
        <v>55600</v>
      </c>
      <c r="F17" s="98">
        <v>40850</v>
      </c>
      <c r="G17" s="550">
        <f t="shared" ref="G17:G30" si="0">H17-F17</f>
        <v>12070</v>
      </c>
      <c r="H17" s="98">
        <v>52920</v>
      </c>
      <c r="I17" s="98">
        <f>[1]MBO!$M$32</f>
        <v>55600</v>
      </c>
      <c r="J17" s="593"/>
    </row>
    <row r="18" spans="1:11" x14ac:dyDescent="0.25">
      <c r="A18" s="100"/>
      <c r="B18" s="538" t="s">
        <v>221</v>
      </c>
      <c r="C18" s="184" t="s">
        <v>74</v>
      </c>
      <c r="D18" s="98">
        <v>22000</v>
      </c>
      <c r="E18" s="98">
        <v>48000</v>
      </c>
      <c r="F18" s="98">
        <v>12000</v>
      </c>
      <c r="G18" s="550">
        <f t="shared" si="0"/>
        <v>12000</v>
      </c>
      <c r="H18" s="98">
        <v>24000</v>
      </c>
      <c r="I18" s="550">
        <f>[1]MBO!$N$32</f>
        <v>48000</v>
      </c>
      <c r="J18" s="593"/>
    </row>
    <row r="19" spans="1:11" x14ac:dyDescent="0.25">
      <c r="A19" s="100"/>
      <c r="B19" s="538" t="s">
        <v>224</v>
      </c>
      <c r="C19" s="184" t="s">
        <v>75</v>
      </c>
      <c r="D19" s="98">
        <v>67500</v>
      </c>
      <c r="E19" s="98">
        <v>67500</v>
      </c>
      <c r="F19" s="98">
        <v>33750</v>
      </c>
      <c r="G19" s="550">
        <f t="shared" si="0"/>
        <v>33750</v>
      </c>
      <c r="H19" s="98">
        <v>67500</v>
      </c>
      <c r="I19" s="550">
        <f>[1]MBO!$O$32</f>
        <v>67500</v>
      </c>
      <c r="J19" s="593"/>
    </row>
    <row r="20" spans="1:11" x14ac:dyDescent="0.25">
      <c r="A20" s="100"/>
      <c r="B20" s="538" t="s">
        <v>223</v>
      </c>
      <c r="C20" s="184" t="s">
        <v>76</v>
      </c>
      <c r="D20" s="98">
        <v>67500</v>
      </c>
      <c r="E20" s="98">
        <v>67500</v>
      </c>
      <c r="F20" s="98">
        <v>33750</v>
      </c>
      <c r="G20" s="550">
        <f t="shared" si="0"/>
        <v>33750</v>
      </c>
      <c r="H20" s="98">
        <v>67500</v>
      </c>
      <c r="I20" s="550">
        <f>[1]MBO!$P$32</f>
        <v>67500</v>
      </c>
      <c r="J20" s="593"/>
    </row>
    <row r="21" spans="1:11" x14ac:dyDescent="0.25">
      <c r="A21" s="100"/>
      <c r="B21" s="538" t="s">
        <v>222</v>
      </c>
      <c r="C21" s="184" t="s">
        <v>77</v>
      </c>
      <c r="D21" s="98">
        <v>5000</v>
      </c>
      <c r="E21" s="98">
        <v>5000</v>
      </c>
      <c r="F21" s="98"/>
      <c r="G21" s="550">
        <f t="shared" si="0"/>
        <v>5000</v>
      </c>
      <c r="H21" s="98">
        <v>5000</v>
      </c>
      <c r="I21" s="550">
        <f>[1]MBO!$Q$32</f>
        <v>12000</v>
      </c>
      <c r="J21" s="593"/>
    </row>
    <row r="22" spans="1:11" x14ac:dyDescent="0.25">
      <c r="A22" s="100"/>
      <c r="B22" s="537" t="s">
        <v>225</v>
      </c>
      <c r="C22" s="184" t="s">
        <v>78</v>
      </c>
      <c r="D22" s="98">
        <v>5000</v>
      </c>
      <c r="E22" s="98">
        <v>10000</v>
      </c>
      <c r="F22" s="98"/>
      <c r="G22" s="550">
        <f t="shared" si="0"/>
        <v>5000</v>
      </c>
      <c r="H22" s="98">
        <v>5000</v>
      </c>
      <c r="I22" s="594">
        <f>[1]MBO!$R$32</f>
        <v>10000</v>
      </c>
      <c r="J22" s="593"/>
    </row>
    <row r="23" spans="1:11" x14ac:dyDescent="0.25">
      <c r="A23" s="100"/>
      <c r="B23" s="538" t="s">
        <v>226</v>
      </c>
      <c r="C23" s="184" t="s">
        <v>80</v>
      </c>
      <c r="D23" s="98">
        <f>49640+49640</f>
        <v>99280</v>
      </c>
      <c r="E23" s="98">
        <f>61140*2</f>
        <v>122280</v>
      </c>
      <c r="F23" s="98">
        <v>57634</v>
      </c>
      <c r="G23" s="550">
        <f t="shared" si="0"/>
        <v>56634</v>
      </c>
      <c r="H23" s="98">
        <f>119268-5000</f>
        <v>114268</v>
      </c>
      <c r="I23" s="550">
        <f>[1]MBO!$S$32</f>
        <v>151158</v>
      </c>
      <c r="J23" s="593"/>
      <c r="K23" s="157"/>
    </row>
    <row r="24" spans="1:11" x14ac:dyDescent="0.25">
      <c r="A24" s="100"/>
      <c r="B24" s="538" t="s">
        <v>227</v>
      </c>
      <c r="C24" s="184" t="s">
        <v>79</v>
      </c>
      <c r="D24" s="98">
        <v>5000</v>
      </c>
      <c r="E24" s="98">
        <v>10000</v>
      </c>
      <c r="F24" s="98"/>
      <c r="G24" s="550">
        <f t="shared" si="0"/>
        <v>5000</v>
      </c>
      <c r="H24" s="98">
        <v>5000</v>
      </c>
      <c r="I24" s="550">
        <f>[1]MBO!$T$32</f>
        <v>10000</v>
      </c>
      <c r="J24" s="593"/>
      <c r="K24" s="607"/>
    </row>
    <row r="25" spans="1:11" x14ac:dyDescent="0.25">
      <c r="A25" s="100"/>
      <c r="B25" s="538" t="s">
        <v>228</v>
      </c>
      <c r="C25" s="184" t="s">
        <v>81</v>
      </c>
      <c r="D25" s="98">
        <f>47654.4-17403.5-10000</f>
        <v>20250.900000000001</v>
      </c>
      <c r="E25" s="98">
        <v>95241.600000000006</v>
      </c>
      <c r="F25" s="98">
        <v>39097.919999999998</v>
      </c>
      <c r="G25" s="550">
        <f t="shared" si="0"/>
        <v>42457.040000000008</v>
      </c>
      <c r="H25" s="98">
        <v>81554.960000000006</v>
      </c>
      <c r="I25" s="550">
        <f>[1]MBO!$U$32</f>
        <v>108833.76</v>
      </c>
      <c r="J25" s="593"/>
    </row>
    <row r="26" spans="1:11" x14ac:dyDescent="0.25">
      <c r="A26" s="100"/>
      <c r="B26" s="538" t="s">
        <v>229</v>
      </c>
      <c r="C26" s="184" t="s">
        <v>82</v>
      </c>
      <c r="D26" s="98">
        <v>800</v>
      </c>
      <c r="E26" s="98">
        <v>2400</v>
      </c>
      <c r="F26" s="98">
        <v>600</v>
      </c>
      <c r="G26" s="550">
        <f t="shared" si="0"/>
        <v>1150</v>
      </c>
      <c r="H26" s="98">
        <v>1750</v>
      </c>
      <c r="I26" s="550">
        <f>[1]MBO!$V$32</f>
        <v>2400</v>
      </c>
      <c r="J26" s="593"/>
    </row>
    <row r="27" spans="1:11" x14ac:dyDescent="0.25">
      <c r="A27" s="100"/>
      <c r="B27" s="538" t="s">
        <v>230</v>
      </c>
      <c r="C27" s="184" t="s">
        <v>83</v>
      </c>
      <c r="D27" s="98">
        <v>5250</v>
      </c>
      <c r="E27" s="98">
        <v>5250</v>
      </c>
      <c r="F27" s="98">
        <v>3300</v>
      </c>
      <c r="G27" s="550">
        <f t="shared" si="0"/>
        <v>2500</v>
      </c>
      <c r="H27" s="98">
        <v>5800</v>
      </c>
      <c r="I27" s="550">
        <f>[1]MBO!$W$32</f>
        <v>8235.3150000000005</v>
      </c>
      <c r="J27" s="593"/>
    </row>
    <row r="28" spans="1:11" x14ac:dyDescent="0.25">
      <c r="A28" s="100"/>
      <c r="B28" s="551" t="s">
        <v>231</v>
      </c>
      <c r="C28" s="184" t="s">
        <v>84</v>
      </c>
      <c r="D28" s="98">
        <v>800</v>
      </c>
      <c r="E28" s="98">
        <v>7936.8</v>
      </c>
      <c r="F28" s="98">
        <v>600</v>
      </c>
      <c r="G28" s="550">
        <f t="shared" si="0"/>
        <v>850</v>
      </c>
      <c r="H28" s="98">
        <v>1450</v>
      </c>
      <c r="I28" s="550">
        <f>[1]MBO!$X$32</f>
        <v>9069.48</v>
      </c>
      <c r="J28" s="593"/>
    </row>
    <row r="29" spans="1:11" x14ac:dyDescent="0.25">
      <c r="A29" s="100"/>
      <c r="B29" s="538" t="s">
        <v>232</v>
      </c>
      <c r="C29" s="184" t="s">
        <v>87</v>
      </c>
      <c r="D29" s="98"/>
      <c r="E29" s="98">
        <v>3</v>
      </c>
      <c r="F29" s="98"/>
      <c r="G29" s="550">
        <f>H29-F29</f>
        <v>0</v>
      </c>
      <c r="H29" s="98"/>
      <c r="I29" s="98"/>
      <c r="J29" s="593"/>
    </row>
    <row r="30" spans="1:11" x14ac:dyDescent="0.25">
      <c r="A30" s="596"/>
      <c r="B30" s="539" t="s">
        <v>233</v>
      </c>
      <c r="C30" s="186" t="s">
        <v>85</v>
      </c>
      <c r="D30" s="106"/>
      <c r="E30" s="106">
        <v>54586.91</v>
      </c>
      <c r="F30" s="106">
        <f>28420.44+0.2</f>
        <v>28420.639999999999</v>
      </c>
      <c r="G30" s="553">
        <f t="shared" si="0"/>
        <v>17463.800000000003</v>
      </c>
      <c r="H30" s="106">
        <f>45420.44+464</f>
        <v>45884.44</v>
      </c>
      <c r="I30" s="553">
        <f>[1]MBO!$Z$32</f>
        <v>72847.121465999997</v>
      </c>
      <c r="J30" s="593"/>
    </row>
    <row r="31" spans="1:11" x14ac:dyDescent="0.25">
      <c r="A31" s="555" t="s">
        <v>71</v>
      </c>
      <c r="B31" s="555"/>
      <c r="C31" s="143"/>
      <c r="D31" s="143">
        <f t="shared" ref="D31:I31" si="1">SUM(D16:D30)</f>
        <v>844565.9</v>
      </c>
      <c r="E31" s="143">
        <f t="shared" si="1"/>
        <v>1344978.31</v>
      </c>
      <c r="F31" s="143">
        <f t="shared" si="1"/>
        <v>575818.56000000006</v>
      </c>
      <c r="G31" s="143">
        <f t="shared" si="1"/>
        <v>581416.84000000008</v>
      </c>
      <c r="H31" s="143">
        <f t="shared" si="1"/>
        <v>1157235.3999999999</v>
      </c>
      <c r="I31" s="143">
        <f t="shared" si="1"/>
        <v>1530091.676466</v>
      </c>
      <c r="J31" s="593"/>
      <c r="K31" s="593"/>
    </row>
    <row r="32" spans="1:11" x14ac:dyDescent="0.25">
      <c r="A32" s="597" t="s">
        <v>14</v>
      </c>
      <c r="B32" s="597"/>
      <c r="C32" s="130"/>
      <c r="D32" s="130"/>
      <c r="E32" s="130"/>
      <c r="F32" s="130"/>
      <c r="G32" s="130"/>
      <c r="H32" s="130"/>
      <c r="I32" s="130"/>
    </row>
    <row r="33" spans="1:11" x14ac:dyDescent="0.25">
      <c r="A33" s="100"/>
      <c r="B33" s="105" t="s">
        <v>234</v>
      </c>
      <c r="C33" s="89" t="s">
        <v>92</v>
      </c>
      <c r="D33" s="198">
        <v>29163</v>
      </c>
      <c r="E33" s="79">
        <v>30000</v>
      </c>
      <c r="F33" s="79">
        <v>17336</v>
      </c>
      <c r="G33" s="550">
        <f t="shared" ref="G33:G41" si="2">H33-F33</f>
        <v>12664</v>
      </c>
      <c r="H33" s="594">
        <v>30000</v>
      </c>
      <c r="I33" s="79">
        <v>35000</v>
      </c>
    </row>
    <row r="34" spans="1:11" x14ac:dyDescent="0.25">
      <c r="A34" s="100"/>
      <c r="B34" s="105" t="s">
        <v>235</v>
      </c>
      <c r="C34" s="89" t="s">
        <v>93</v>
      </c>
      <c r="D34" s="198">
        <v>34928</v>
      </c>
      <c r="E34" s="79">
        <v>35000</v>
      </c>
      <c r="F34" s="79">
        <v>8800</v>
      </c>
      <c r="G34" s="550">
        <f t="shared" si="2"/>
        <v>8611</v>
      </c>
      <c r="H34" s="594">
        <v>17411</v>
      </c>
      <c r="I34" s="79">
        <v>42000</v>
      </c>
    </row>
    <row r="35" spans="1:11" x14ac:dyDescent="0.25">
      <c r="A35" s="100"/>
      <c r="B35" s="105" t="s">
        <v>236</v>
      </c>
      <c r="C35" s="89" t="s">
        <v>94</v>
      </c>
      <c r="D35" s="198">
        <v>10682.56</v>
      </c>
      <c r="E35" s="79">
        <v>30000</v>
      </c>
      <c r="F35" s="79">
        <v>8785.48</v>
      </c>
      <c r="G35" s="550">
        <f t="shared" si="2"/>
        <v>21214.52</v>
      </c>
      <c r="H35" s="594">
        <v>30000</v>
      </c>
      <c r="I35" s="79">
        <v>30000</v>
      </c>
    </row>
    <row r="36" spans="1:11" x14ac:dyDescent="0.25">
      <c r="A36" s="100"/>
      <c r="B36" s="105" t="s">
        <v>237</v>
      </c>
      <c r="C36" s="89" t="s">
        <v>95</v>
      </c>
      <c r="D36" s="198">
        <v>12703.47</v>
      </c>
      <c r="E36" s="79">
        <f>26200-109.84</f>
        <v>26090.16</v>
      </c>
      <c r="F36" s="79">
        <v>10395.959999999999</v>
      </c>
      <c r="G36" s="550">
        <f t="shared" si="2"/>
        <v>22489.950000000004</v>
      </c>
      <c r="H36" s="594">
        <v>32885.910000000003</v>
      </c>
      <c r="I36" s="79">
        <v>24000</v>
      </c>
    </row>
    <row r="37" spans="1:11" x14ac:dyDescent="0.25">
      <c r="A37" s="100"/>
      <c r="B37" s="598" t="s">
        <v>238</v>
      </c>
      <c r="C37" s="89" t="s">
        <v>118</v>
      </c>
      <c r="D37" s="198"/>
      <c r="E37" s="79"/>
      <c r="F37" s="79"/>
      <c r="G37" s="550">
        <f t="shared" si="2"/>
        <v>0</v>
      </c>
      <c r="H37" s="594"/>
      <c r="I37" s="79">
        <v>20400</v>
      </c>
    </row>
    <row r="38" spans="1:11" x14ac:dyDescent="0.25">
      <c r="A38" s="100"/>
      <c r="B38" s="105" t="s">
        <v>255</v>
      </c>
      <c r="C38" s="89" t="s">
        <v>96</v>
      </c>
      <c r="D38" s="198">
        <v>38040</v>
      </c>
      <c r="E38" s="79">
        <v>50000</v>
      </c>
      <c r="F38" s="79">
        <v>14460</v>
      </c>
      <c r="G38" s="550">
        <f t="shared" si="2"/>
        <v>49187.99</v>
      </c>
      <c r="H38" s="594">
        <v>63647.99</v>
      </c>
      <c r="I38" s="79">
        <v>56690.16</v>
      </c>
    </row>
    <row r="39" spans="1:11" x14ac:dyDescent="0.25">
      <c r="A39" s="100"/>
      <c r="B39" s="105" t="s">
        <v>240</v>
      </c>
      <c r="C39" s="89" t="s">
        <v>99</v>
      </c>
      <c r="D39" s="198">
        <v>3820</v>
      </c>
      <c r="E39" s="79">
        <v>15000</v>
      </c>
      <c r="F39" s="79">
        <v>300</v>
      </c>
      <c r="G39" s="550">
        <f t="shared" si="2"/>
        <v>5286.96</v>
      </c>
      <c r="H39" s="594">
        <v>5586.96</v>
      </c>
      <c r="I39" s="79">
        <v>8000</v>
      </c>
    </row>
    <row r="40" spans="1:11" x14ac:dyDescent="0.25">
      <c r="A40" s="100"/>
      <c r="B40" s="598" t="s">
        <v>241</v>
      </c>
      <c r="C40" s="89" t="s">
        <v>128</v>
      </c>
      <c r="D40" s="198">
        <v>58750</v>
      </c>
      <c r="E40" s="80">
        <v>60000</v>
      </c>
      <c r="F40" s="79">
        <v>15000</v>
      </c>
      <c r="G40" s="550">
        <f t="shared" si="2"/>
        <v>17999</v>
      </c>
      <c r="H40" s="594">
        <v>32999</v>
      </c>
      <c r="I40" s="80">
        <v>30000</v>
      </c>
    </row>
    <row r="41" spans="1:11" x14ac:dyDescent="0.25">
      <c r="A41" s="596"/>
      <c r="B41" s="599" t="s">
        <v>242</v>
      </c>
      <c r="C41" s="96" t="s">
        <v>128</v>
      </c>
      <c r="D41" s="202">
        <v>289640</v>
      </c>
      <c r="E41" s="563">
        <v>300000</v>
      </c>
      <c r="F41" s="600">
        <v>138000</v>
      </c>
      <c r="G41" s="553">
        <f t="shared" si="2"/>
        <v>138000</v>
      </c>
      <c r="H41" s="601">
        <v>276000</v>
      </c>
      <c r="I41" s="563">
        <v>300000</v>
      </c>
    </row>
    <row r="42" spans="1:11" x14ac:dyDescent="0.25">
      <c r="A42" s="602" t="s">
        <v>68</v>
      </c>
      <c r="B42" s="602"/>
      <c r="C42" s="603"/>
      <c r="D42" s="143">
        <f>SUM(D33:D41)</f>
        <v>477727.03</v>
      </c>
      <c r="E42" s="143">
        <f t="shared" ref="E42" si="3">SUM(E33:E41)</f>
        <v>546090.16</v>
      </c>
      <c r="F42" s="143">
        <f t="shared" ref="F42" si="4">SUM(F33:F41)</f>
        <v>213077.44</v>
      </c>
      <c r="G42" s="143">
        <f t="shared" ref="G42" si="5">SUM(G33:G41)</f>
        <v>275453.42000000004</v>
      </c>
      <c r="H42" s="143">
        <f t="shared" ref="H42" si="6">SUM(H33:H41)</f>
        <v>488530.86</v>
      </c>
      <c r="I42" s="143">
        <f>SUM(I33:I41)</f>
        <v>546090.16</v>
      </c>
      <c r="J42" s="157"/>
      <c r="K42" s="593"/>
    </row>
    <row r="43" spans="1:11" x14ac:dyDescent="0.25">
      <c r="A43" s="544" t="s">
        <v>26</v>
      </c>
      <c r="B43" s="544"/>
      <c r="C43" s="394"/>
      <c r="D43" s="147"/>
      <c r="E43" s="147"/>
      <c r="F43" s="147"/>
      <c r="G43" s="147"/>
      <c r="H43" s="147"/>
      <c r="I43" s="147"/>
    </row>
    <row r="44" spans="1:11" x14ac:dyDescent="0.25">
      <c r="A44" s="100"/>
      <c r="B44" s="105" t="s">
        <v>243</v>
      </c>
      <c r="C44" s="336" t="s">
        <v>110</v>
      </c>
      <c r="D44" s="604"/>
      <c r="E44" s="604"/>
      <c r="F44" s="604"/>
      <c r="G44" s="604"/>
      <c r="H44" s="604"/>
      <c r="I44" s="604"/>
    </row>
    <row r="45" spans="1:11" x14ac:dyDescent="0.25">
      <c r="A45" s="100"/>
      <c r="B45" s="105" t="s">
        <v>244</v>
      </c>
      <c r="C45" s="201" t="s">
        <v>108</v>
      </c>
      <c r="D45" s="604"/>
      <c r="E45" s="604"/>
      <c r="F45" s="604"/>
      <c r="G45" s="550">
        <f t="shared" ref="G45:G46" si="7">H45-F45</f>
        <v>0</v>
      </c>
      <c r="H45" s="604"/>
      <c r="I45" s="604"/>
    </row>
    <row r="46" spans="1:11" x14ac:dyDescent="0.25">
      <c r="A46" s="596"/>
      <c r="B46" s="501" t="s">
        <v>245</v>
      </c>
      <c r="C46" s="546" t="s">
        <v>107</v>
      </c>
      <c r="D46" s="202">
        <v>11950</v>
      </c>
      <c r="E46" s="202"/>
      <c r="F46" s="605"/>
      <c r="G46" s="553">
        <f t="shared" si="7"/>
        <v>0</v>
      </c>
      <c r="H46" s="202"/>
      <c r="I46" s="202"/>
    </row>
    <row r="47" spans="1:11" x14ac:dyDescent="0.25">
      <c r="A47" s="579" t="s">
        <v>72</v>
      </c>
      <c r="B47" s="579"/>
      <c r="C47" s="142"/>
      <c r="D47" s="143">
        <f>SUM(D44:D46)</f>
        <v>11950</v>
      </c>
      <c r="E47" s="143">
        <f t="shared" ref="E47:I47" si="8">SUM(E44:E46)</f>
        <v>0</v>
      </c>
      <c r="F47" s="143">
        <f t="shared" si="8"/>
        <v>0</v>
      </c>
      <c r="G47" s="143">
        <f t="shared" si="8"/>
        <v>0</v>
      </c>
      <c r="H47" s="143">
        <f t="shared" si="8"/>
        <v>0</v>
      </c>
      <c r="I47" s="143">
        <f t="shared" si="8"/>
        <v>0</v>
      </c>
    </row>
    <row r="48" spans="1:11" x14ac:dyDescent="0.25">
      <c r="A48" s="606" t="s">
        <v>20</v>
      </c>
      <c r="B48" s="606"/>
      <c r="C48" s="603"/>
      <c r="D48" s="580">
        <f>D31+D42+D47</f>
        <v>1334242.9300000002</v>
      </c>
      <c r="E48" s="580">
        <f t="shared" ref="E48:I48" si="9">E31+E42+E47</f>
        <v>1891068.4700000002</v>
      </c>
      <c r="F48" s="580">
        <f t="shared" si="9"/>
        <v>788896</v>
      </c>
      <c r="G48" s="580">
        <f t="shared" si="9"/>
        <v>856870.26000000013</v>
      </c>
      <c r="H48" s="580">
        <f t="shared" si="9"/>
        <v>1645766.2599999998</v>
      </c>
      <c r="I48" s="580">
        <f t="shared" si="9"/>
        <v>2076181.8364659999</v>
      </c>
    </row>
    <row r="49" spans="2:9" x14ac:dyDescent="0.25">
      <c r="B49" s="150"/>
      <c r="C49" s="151"/>
      <c r="D49" s="152"/>
      <c r="E49" s="152"/>
      <c r="F49" s="152"/>
      <c r="G49" s="149"/>
      <c r="H49" s="149"/>
      <c r="I49" s="149"/>
    </row>
    <row r="50" spans="2:9" x14ac:dyDescent="0.25">
      <c r="B50" s="153" t="s">
        <v>22</v>
      </c>
      <c r="C50" s="36" t="s">
        <v>23</v>
      </c>
      <c r="D50" s="36"/>
      <c r="E50" s="36"/>
      <c r="F50" s="113"/>
      <c r="G50" s="36" t="s">
        <v>24</v>
      </c>
      <c r="H50" s="36"/>
      <c r="I50" s="36"/>
    </row>
    <row r="51" spans="2:9" x14ac:dyDescent="0.25">
      <c r="B51" s="36"/>
      <c r="C51" s="36"/>
      <c r="D51" s="36"/>
      <c r="E51" s="36"/>
      <c r="F51" s="113"/>
      <c r="G51" s="36"/>
      <c r="H51" s="36"/>
      <c r="I51" s="36"/>
    </row>
    <row r="52" spans="2:9" x14ac:dyDescent="0.25">
      <c r="B52" s="216" t="s">
        <v>51</v>
      </c>
      <c r="C52" s="1128" t="s">
        <v>51</v>
      </c>
      <c r="D52" s="1128"/>
      <c r="E52" s="1128"/>
      <c r="F52" s="1128"/>
      <c r="G52" s="1085" t="s">
        <v>117</v>
      </c>
      <c r="H52" s="1085"/>
      <c r="I52" s="1085"/>
    </row>
    <row r="53" spans="2:9" x14ac:dyDescent="0.25">
      <c r="B53" s="206" t="s">
        <v>63</v>
      </c>
      <c r="C53" s="1070" t="s">
        <v>64</v>
      </c>
      <c r="D53" s="1070"/>
      <c r="E53" s="1070"/>
      <c r="F53" s="1070"/>
      <c r="G53" s="1070" t="s">
        <v>67</v>
      </c>
      <c r="H53" s="1070"/>
      <c r="I53" s="1070"/>
    </row>
  </sheetData>
  <sheetProtection algorithmName="SHA-512" hashValue="+TqXE8aK+aSiH5suzaVrRU6Hp41jksOr7mxp7fRe3nFzYiwU4opw8R+DCUtWz5WSivoBoXWKKYA2lAXbpaYN3Q==" saltValue="ze754FBtkGN11Q2LyQhJVQ==" spinCount="100000" sheet="1" objects="1" scenarios="1" selectLockedCells="1" selectUnlockedCells="1"/>
  <mergeCells count="10">
    <mergeCell ref="A3:I3"/>
    <mergeCell ref="A4:I4"/>
    <mergeCell ref="A10:B11"/>
    <mergeCell ref="C52:F52"/>
    <mergeCell ref="G52:I52"/>
    <mergeCell ref="C53:F53"/>
    <mergeCell ref="G53:I53"/>
    <mergeCell ref="C10:C11"/>
    <mergeCell ref="F10:H10"/>
    <mergeCell ref="E10:E14"/>
  </mergeCells>
  <printOptions horizontalCentered="1"/>
  <pageMargins left="0.45" right="0" top="1" bottom="1" header="0" footer="0"/>
  <pageSetup scale="70" orientation="portrait" r:id="rId1"/>
  <headerFooter>
    <oddHeader xml:space="preserve">&amp;R&amp;D   &amp;T  </oddHeader>
  </headerFooter>
  <rowBreaks count="1" manualBreakCount="1">
    <brk id="49" max="16383" man="1"/>
  </rowBreaks>
  <colBreaks count="1" manualBreakCount="1">
    <brk id="9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92D050"/>
  </sheetPr>
  <dimension ref="A1:K61"/>
  <sheetViews>
    <sheetView tabSelected="1" topLeftCell="A37" zoomScale="110" zoomScaleNormal="110" workbookViewId="0">
      <selection activeCell="F58" sqref="F58"/>
    </sheetView>
  </sheetViews>
  <sheetFormatPr defaultRowHeight="15" x14ac:dyDescent="0.25"/>
  <cols>
    <col min="1" max="1" width="2.85546875" style="36" customWidth="1"/>
    <col min="2" max="2" width="44.28515625" style="36" customWidth="1"/>
    <col min="3" max="4" width="13.42578125" style="36" customWidth="1"/>
    <col min="5" max="5" width="13.42578125" style="36" hidden="1" customWidth="1"/>
    <col min="6" max="9" width="13.42578125" style="36" customWidth="1"/>
    <col min="10" max="10" width="13.140625" style="36" customWidth="1"/>
    <col min="11" max="11" width="14" style="37" bestFit="1" customWidth="1"/>
    <col min="12" max="16384" width="9.140625" style="36"/>
  </cols>
  <sheetData>
    <row r="1" spans="1:9" x14ac:dyDescent="0.25">
      <c r="A1" s="36" t="s">
        <v>9</v>
      </c>
      <c r="I1" s="159" t="s">
        <v>27</v>
      </c>
    </row>
    <row r="3" spans="1:9" ht="15" customHeight="1" x14ac:dyDescent="0.25">
      <c r="A3" s="1069" t="s">
        <v>10</v>
      </c>
      <c r="B3" s="1069"/>
      <c r="C3" s="1069"/>
      <c r="D3" s="1069"/>
      <c r="E3" s="1069"/>
      <c r="F3" s="1069"/>
      <c r="G3" s="1069"/>
      <c r="H3" s="1069"/>
      <c r="I3" s="1069"/>
    </row>
    <row r="4" spans="1:9" ht="15" customHeight="1" x14ac:dyDescent="0.25">
      <c r="A4" s="1069" t="s">
        <v>47</v>
      </c>
      <c r="B4" s="1069"/>
      <c r="C4" s="1069"/>
      <c r="D4" s="1069"/>
      <c r="E4" s="1069"/>
      <c r="F4" s="1069"/>
      <c r="G4" s="1069"/>
      <c r="H4" s="1069"/>
      <c r="I4" s="1069"/>
    </row>
    <row r="5" spans="1:9" ht="15" customHeight="1" x14ac:dyDescent="0.25">
      <c r="B5" s="116"/>
      <c r="C5" s="114"/>
      <c r="D5" s="114"/>
      <c r="E5" s="114"/>
      <c r="F5" s="114"/>
      <c r="G5" s="114"/>
      <c r="H5" s="114"/>
      <c r="I5" s="114"/>
    </row>
    <row r="6" spans="1:9" ht="15" customHeight="1" x14ac:dyDescent="0.25">
      <c r="A6" s="114" t="s">
        <v>148</v>
      </c>
      <c r="B6" s="114"/>
      <c r="C6" s="114"/>
      <c r="D6" s="114"/>
      <c r="E6" s="114"/>
      <c r="F6" s="114"/>
      <c r="G6" s="114"/>
      <c r="H6" s="114"/>
      <c r="I6" s="114"/>
    </row>
    <row r="7" spans="1:9" ht="15" customHeight="1" x14ac:dyDescent="0.25">
      <c r="A7" s="114" t="s">
        <v>132</v>
      </c>
      <c r="B7" s="114"/>
      <c r="C7" s="114"/>
      <c r="D7" s="114"/>
      <c r="E7" s="114"/>
      <c r="F7" s="114"/>
      <c r="G7" s="114"/>
      <c r="H7" s="114"/>
      <c r="I7" s="114"/>
    </row>
    <row r="8" spans="1:9" ht="15" customHeight="1" x14ac:dyDescent="0.25">
      <c r="A8" s="114" t="s">
        <v>126</v>
      </c>
      <c r="B8" s="114"/>
      <c r="C8" s="114"/>
      <c r="D8" s="114"/>
      <c r="E8" s="114"/>
      <c r="F8" s="114"/>
      <c r="G8" s="114"/>
      <c r="H8" s="114"/>
      <c r="I8" s="114"/>
    </row>
    <row r="9" spans="1:9" ht="18.75" x14ac:dyDescent="0.3">
      <c r="B9" s="530"/>
      <c r="C9" s="530"/>
      <c r="D9" s="530"/>
      <c r="E9" s="530"/>
      <c r="F9" s="530"/>
      <c r="G9" s="530"/>
      <c r="H9" s="530"/>
      <c r="I9" s="530"/>
    </row>
    <row r="10" spans="1:9" x14ac:dyDescent="0.25">
      <c r="A10" s="122"/>
      <c r="B10" s="1076" t="s">
        <v>0</v>
      </c>
      <c r="C10" s="1073" t="s">
        <v>1</v>
      </c>
      <c r="D10" s="127" t="s">
        <v>2</v>
      </c>
      <c r="E10" s="1082" t="s">
        <v>105</v>
      </c>
      <c r="F10" s="1075" t="s">
        <v>8</v>
      </c>
      <c r="G10" s="1076"/>
      <c r="H10" s="1071"/>
      <c r="I10" s="127" t="s">
        <v>3</v>
      </c>
    </row>
    <row r="11" spans="1:9" ht="58.5" customHeight="1" x14ac:dyDescent="0.25">
      <c r="A11" s="124"/>
      <c r="B11" s="1087"/>
      <c r="C11" s="1074"/>
      <c r="D11" s="129" t="s">
        <v>4</v>
      </c>
      <c r="E11" s="1083"/>
      <c r="F11" s="209" t="s">
        <v>28</v>
      </c>
      <c r="G11" s="209" t="s">
        <v>29</v>
      </c>
      <c r="H11" s="127" t="s">
        <v>5</v>
      </c>
      <c r="I11" s="129" t="s">
        <v>6</v>
      </c>
    </row>
    <row r="12" spans="1:9" ht="16.5" customHeight="1" x14ac:dyDescent="0.25">
      <c r="A12" s="124"/>
      <c r="B12" s="425"/>
      <c r="C12" s="129"/>
      <c r="D12" s="129"/>
      <c r="E12" s="1083"/>
      <c r="F12" s="129" t="s">
        <v>4</v>
      </c>
      <c r="G12" s="129" t="s">
        <v>7</v>
      </c>
      <c r="H12" s="129"/>
      <c r="I12" s="129"/>
    </row>
    <row r="13" spans="1:9" x14ac:dyDescent="0.25">
      <c r="A13" s="124"/>
      <c r="B13" s="425"/>
      <c r="C13" s="129"/>
      <c r="D13" s="213">
        <v>2017</v>
      </c>
      <c r="E13" s="1083"/>
      <c r="F13" s="129">
        <v>2018</v>
      </c>
      <c r="G13" s="129">
        <v>2018</v>
      </c>
      <c r="H13" s="129"/>
      <c r="I13" s="213">
        <v>2019</v>
      </c>
    </row>
    <row r="14" spans="1:9" x14ac:dyDescent="0.25">
      <c r="A14" s="131"/>
      <c r="B14" s="426">
        <v>1</v>
      </c>
      <c r="C14" s="214">
        <v>2</v>
      </c>
      <c r="D14" s="214">
        <v>3</v>
      </c>
      <c r="E14" s="1084"/>
      <c r="F14" s="214">
        <v>4</v>
      </c>
      <c r="G14" s="214">
        <v>5</v>
      </c>
      <c r="H14" s="214">
        <v>6</v>
      </c>
      <c r="I14" s="214">
        <v>7</v>
      </c>
    </row>
    <row r="15" spans="1:9" x14ac:dyDescent="0.25">
      <c r="A15" s="134" t="s">
        <v>11</v>
      </c>
      <c r="B15" s="134"/>
      <c r="C15" s="127"/>
      <c r="D15" s="127"/>
      <c r="E15" s="127"/>
      <c r="F15" s="127"/>
      <c r="G15" s="127"/>
      <c r="H15" s="127"/>
      <c r="I15" s="127"/>
    </row>
    <row r="16" spans="1:9" x14ac:dyDescent="0.25">
      <c r="A16" s="54"/>
      <c r="B16" s="105" t="s">
        <v>219</v>
      </c>
      <c r="C16" s="89" t="s">
        <v>73</v>
      </c>
      <c r="D16" s="85">
        <v>1096575.45</v>
      </c>
      <c r="E16" s="85">
        <v>1480032</v>
      </c>
      <c r="F16" s="320">
        <v>713980</v>
      </c>
      <c r="G16" s="86">
        <f>H16-F16</f>
        <v>827332.5</v>
      </c>
      <c r="H16" s="85">
        <v>1541312.5</v>
      </c>
      <c r="I16" s="84">
        <f>[1]Accounting!$L$38</f>
        <v>1616244</v>
      </c>
    </row>
    <row r="17" spans="1:11" x14ac:dyDescent="0.25">
      <c r="A17" s="54"/>
      <c r="B17" s="105" t="s">
        <v>220</v>
      </c>
      <c r="C17" s="89" t="s">
        <v>86</v>
      </c>
      <c r="D17" s="85">
        <v>48760</v>
      </c>
      <c r="E17" s="85">
        <v>60000</v>
      </c>
      <c r="F17" s="320">
        <v>43525</v>
      </c>
      <c r="G17" s="86">
        <f t="shared" ref="G17:G30" si="0">H17-F17</f>
        <v>12180</v>
      </c>
      <c r="H17" s="85">
        <v>55705</v>
      </c>
      <c r="I17" s="85">
        <f>[1]Accounting!$M$38</f>
        <v>160000</v>
      </c>
    </row>
    <row r="18" spans="1:11" x14ac:dyDescent="0.25">
      <c r="A18" s="54"/>
      <c r="B18" s="538" t="s">
        <v>221</v>
      </c>
      <c r="C18" s="184" t="s">
        <v>74</v>
      </c>
      <c r="D18" s="85">
        <v>148336.63</v>
      </c>
      <c r="E18" s="85">
        <v>168000</v>
      </c>
      <c r="F18" s="320">
        <v>84000</v>
      </c>
      <c r="G18" s="86">
        <f t="shared" si="0"/>
        <v>81500</v>
      </c>
      <c r="H18" s="85">
        <v>165500</v>
      </c>
      <c r="I18" s="84">
        <f>[1]Accounting!$N$38</f>
        <v>168000</v>
      </c>
    </row>
    <row r="19" spans="1:11" x14ac:dyDescent="0.25">
      <c r="A19" s="54"/>
      <c r="B19" s="538" t="s">
        <v>224</v>
      </c>
      <c r="C19" s="184" t="s">
        <v>75</v>
      </c>
      <c r="D19" s="85">
        <v>67500</v>
      </c>
      <c r="E19" s="85">
        <v>67500</v>
      </c>
      <c r="F19" s="320">
        <v>33750</v>
      </c>
      <c r="G19" s="86">
        <f t="shared" si="0"/>
        <v>33750</v>
      </c>
      <c r="H19" s="85">
        <v>67500</v>
      </c>
      <c r="I19" s="84">
        <f>[1]Accounting!$O$38</f>
        <v>67500</v>
      </c>
    </row>
    <row r="20" spans="1:11" x14ac:dyDescent="0.25">
      <c r="A20" s="54"/>
      <c r="B20" s="538" t="s">
        <v>223</v>
      </c>
      <c r="C20" s="184" t="s">
        <v>76</v>
      </c>
      <c r="D20" s="85">
        <v>67500</v>
      </c>
      <c r="E20" s="85">
        <v>67500</v>
      </c>
      <c r="F20" s="320">
        <v>33750</v>
      </c>
      <c r="G20" s="86">
        <f t="shared" si="0"/>
        <v>33750</v>
      </c>
      <c r="H20" s="85">
        <v>67500</v>
      </c>
      <c r="I20" s="84">
        <f>[1]Accounting!$P$38</f>
        <v>67500</v>
      </c>
    </row>
    <row r="21" spans="1:11" x14ac:dyDescent="0.25">
      <c r="A21" s="54"/>
      <c r="B21" s="538" t="s">
        <v>222</v>
      </c>
      <c r="C21" s="184" t="s">
        <v>77</v>
      </c>
      <c r="D21" s="85">
        <v>35000</v>
      </c>
      <c r="E21" s="85">
        <v>35000</v>
      </c>
      <c r="F21" s="320"/>
      <c r="G21" s="86">
        <f t="shared" si="0"/>
        <v>42000</v>
      </c>
      <c r="H21" s="85">
        <v>42000</v>
      </c>
      <c r="I21" s="84">
        <f>[1]Accounting!$Q$38</f>
        <v>42000</v>
      </c>
    </row>
    <row r="22" spans="1:11" x14ac:dyDescent="0.25">
      <c r="A22" s="54"/>
      <c r="B22" s="538" t="s">
        <v>225</v>
      </c>
      <c r="C22" s="184" t="s">
        <v>78</v>
      </c>
      <c r="D22" s="85">
        <v>35000</v>
      </c>
      <c r="E22" s="85">
        <v>35000</v>
      </c>
      <c r="F22" s="320"/>
      <c r="G22" s="86">
        <f>H22-F22</f>
        <v>35000</v>
      </c>
      <c r="H22" s="85">
        <v>35000</v>
      </c>
      <c r="I22" s="86">
        <f>[1]Accounting!$R$38</f>
        <v>35000</v>
      </c>
    </row>
    <row r="23" spans="1:11" x14ac:dyDescent="0.25">
      <c r="A23" s="54"/>
      <c r="B23" s="538" t="s">
        <v>226</v>
      </c>
      <c r="C23" s="184" t="s">
        <v>80</v>
      </c>
      <c r="D23" s="85">
        <f>112481+103365</f>
        <v>215846</v>
      </c>
      <c r="E23" s="85">
        <f>124278+124278</f>
        <v>248556</v>
      </c>
      <c r="F23" s="320">
        <v>122255</v>
      </c>
      <c r="G23" s="86">
        <f>H23-F23</f>
        <v>122448</v>
      </c>
      <c r="H23" s="85">
        <f>122448+122255</f>
        <v>244703</v>
      </c>
      <c r="I23" s="84">
        <f>[1]Accounting!$S$38</f>
        <v>269374</v>
      </c>
    </row>
    <row r="24" spans="1:11" x14ac:dyDescent="0.25">
      <c r="A24" s="54"/>
      <c r="B24" s="538" t="s">
        <v>227</v>
      </c>
      <c r="C24" s="184" t="s">
        <v>79</v>
      </c>
      <c r="D24" s="85">
        <v>35000</v>
      </c>
      <c r="E24" s="85">
        <v>35000</v>
      </c>
      <c r="F24" s="320"/>
      <c r="G24" s="86">
        <f t="shared" si="0"/>
        <v>35000</v>
      </c>
      <c r="H24" s="85">
        <v>35000</v>
      </c>
      <c r="I24" s="84">
        <f>[1]Accounting!$T$38</f>
        <v>35000</v>
      </c>
    </row>
    <row r="25" spans="1:11" x14ac:dyDescent="0.25">
      <c r="A25" s="54"/>
      <c r="B25" s="538" t="s">
        <v>228</v>
      </c>
      <c r="C25" s="184" t="s">
        <v>81</v>
      </c>
      <c r="D25" s="85">
        <v>105488.64</v>
      </c>
      <c r="E25" s="85">
        <v>178960.32</v>
      </c>
      <c r="F25" s="320">
        <v>85677.84</v>
      </c>
      <c r="G25" s="86">
        <f t="shared" si="0"/>
        <v>88205.420000000013</v>
      </c>
      <c r="H25" s="85">
        <v>173883.26</v>
      </c>
      <c r="I25" s="84">
        <f>[1]Accounting!$U$38</f>
        <v>193949.28</v>
      </c>
    </row>
    <row r="26" spans="1:11" x14ac:dyDescent="0.25">
      <c r="A26" s="54"/>
      <c r="B26" s="538" t="s">
        <v>229</v>
      </c>
      <c r="C26" s="184" t="s">
        <v>82</v>
      </c>
      <c r="D26" s="85">
        <v>5400</v>
      </c>
      <c r="E26" s="85">
        <v>8400</v>
      </c>
      <c r="F26" s="320">
        <v>4200</v>
      </c>
      <c r="G26" s="86">
        <f t="shared" si="0"/>
        <v>4000</v>
      </c>
      <c r="H26" s="85">
        <v>8200</v>
      </c>
      <c r="I26" s="84">
        <f>[1]Accounting!$V$38</f>
        <v>8400</v>
      </c>
    </row>
    <row r="27" spans="1:11" x14ac:dyDescent="0.25">
      <c r="A27" s="54"/>
      <c r="B27" s="538" t="s">
        <v>230</v>
      </c>
      <c r="C27" s="184" t="s">
        <v>83</v>
      </c>
      <c r="D27" s="85">
        <v>13550</v>
      </c>
      <c r="E27" s="85">
        <v>13050</v>
      </c>
      <c r="F27" s="320">
        <v>8746.2999999999993</v>
      </c>
      <c r="G27" s="86">
        <f t="shared" si="0"/>
        <v>7256.66</v>
      </c>
      <c r="H27" s="85">
        <v>16002.96</v>
      </c>
      <c r="I27" s="84">
        <f>[1]Accounting!$W$38</f>
        <v>17448.914999999997</v>
      </c>
    </row>
    <row r="28" spans="1:11" x14ac:dyDescent="0.25">
      <c r="A28" s="54"/>
      <c r="B28" s="551" t="s">
        <v>231</v>
      </c>
      <c r="C28" s="184" t="s">
        <v>84</v>
      </c>
      <c r="D28" s="85">
        <v>5055.4399999999996</v>
      </c>
      <c r="E28" s="85">
        <v>14913.36</v>
      </c>
      <c r="F28" s="320">
        <v>3994.28</v>
      </c>
      <c r="G28" s="86">
        <f t="shared" si="0"/>
        <v>5248.7799999999988</v>
      </c>
      <c r="H28" s="85">
        <v>9243.06</v>
      </c>
      <c r="I28" s="84">
        <f>[1]Accounting!$X$38</f>
        <v>16162.44</v>
      </c>
    </row>
    <row r="29" spans="1:11" s="41" customFormat="1" x14ac:dyDescent="0.25">
      <c r="A29" s="100"/>
      <c r="B29" s="538" t="s">
        <v>232</v>
      </c>
      <c r="C29" s="184" t="s">
        <v>87</v>
      </c>
      <c r="D29" s="98"/>
      <c r="E29" s="98">
        <v>349732</v>
      </c>
      <c r="F29" s="98"/>
      <c r="G29" s="86">
        <f>H29-F29</f>
        <v>43138.61</v>
      </c>
      <c r="H29" s="98">
        <v>43138.61</v>
      </c>
      <c r="I29" s="608">
        <f>[1]Accounting!$Y$38</f>
        <v>349732</v>
      </c>
      <c r="J29" s="609"/>
      <c r="K29" s="610"/>
    </row>
    <row r="30" spans="1:11" x14ac:dyDescent="0.25">
      <c r="A30" s="136"/>
      <c r="B30" s="539" t="s">
        <v>233</v>
      </c>
      <c r="C30" s="186" t="s">
        <v>85</v>
      </c>
      <c r="D30" s="552">
        <v>80829.69</v>
      </c>
      <c r="E30" s="552">
        <v>119785.85</v>
      </c>
      <c r="F30" s="541">
        <v>113254.77</v>
      </c>
      <c r="G30" s="197">
        <f t="shared" si="0"/>
        <v>20999.999999999985</v>
      </c>
      <c r="H30" s="552">
        <v>134254.76999999999</v>
      </c>
      <c r="I30" s="87">
        <f>[1]Accounting!$Z$38</f>
        <v>129818.60369800002</v>
      </c>
    </row>
    <row r="31" spans="1:11" x14ac:dyDescent="0.25">
      <c r="A31" s="611" t="s">
        <v>71</v>
      </c>
      <c r="B31" s="555"/>
      <c r="C31" s="142"/>
      <c r="D31" s="542">
        <f t="shared" ref="D31:I31" si="1">SUM(D16:D30)</f>
        <v>1959841.8499999999</v>
      </c>
      <c r="E31" s="542">
        <f t="shared" si="1"/>
        <v>2881429.53</v>
      </c>
      <c r="F31" s="542">
        <f t="shared" si="1"/>
        <v>1247133.1900000002</v>
      </c>
      <c r="G31" s="542">
        <f t="shared" si="1"/>
        <v>1391809.97</v>
      </c>
      <c r="H31" s="542">
        <f t="shared" si="1"/>
        <v>2638943.1599999997</v>
      </c>
      <c r="I31" s="542">
        <f t="shared" si="1"/>
        <v>3176129.2386979996</v>
      </c>
      <c r="J31" s="139"/>
    </row>
    <row r="32" spans="1:11" x14ac:dyDescent="0.25">
      <c r="A32" s="141" t="s">
        <v>14</v>
      </c>
      <c r="B32" s="544"/>
      <c r="C32" s="394"/>
      <c r="D32" s="394"/>
      <c r="E32" s="394"/>
      <c r="F32" s="394"/>
      <c r="G32" s="394"/>
      <c r="H32" s="394"/>
      <c r="I32" s="394"/>
    </row>
    <row r="33" spans="1:9" x14ac:dyDescent="0.25">
      <c r="A33" s="54"/>
      <c r="B33" s="612" t="s">
        <v>234</v>
      </c>
      <c r="C33" s="89" t="s">
        <v>92</v>
      </c>
      <c r="D33" s="86">
        <v>68997.19</v>
      </c>
      <c r="E33" s="86">
        <v>60000</v>
      </c>
      <c r="F33" s="613">
        <v>51128</v>
      </c>
      <c r="G33" s="86">
        <f>H33-F33</f>
        <v>8872</v>
      </c>
      <c r="H33" s="86">
        <v>60000</v>
      </c>
      <c r="I33" s="613">
        <v>60000</v>
      </c>
    </row>
    <row r="34" spans="1:9" x14ac:dyDescent="0.25">
      <c r="A34" s="54"/>
      <c r="B34" s="612" t="s">
        <v>235</v>
      </c>
      <c r="C34" s="89" t="s">
        <v>93</v>
      </c>
      <c r="D34" s="86">
        <v>54934</v>
      </c>
      <c r="E34" s="86">
        <v>70000</v>
      </c>
      <c r="F34" s="613">
        <v>29080</v>
      </c>
      <c r="G34" s="86">
        <f>H34-F34</f>
        <v>37866</v>
      </c>
      <c r="H34" s="86">
        <v>66946</v>
      </c>
      <c r="I34" s="613">
        <v>70000</v>
      </c>
    </row>
    <row r="35" spans="1:9" x14ac:dyDescent="0.25">
      <c r="A35" s="54"/>
      <c r="B35" s="612" t="s">
        <v>236</v>
      </c>
      <c r="C35" s="89" t="s">
        <v>94</v>
      </c>
      <c r="D35" s="86">
        <v>47063.55</v>
      </c>
      <c r="E35" s="86">
        <v>60000</v>
      </c>
      <c r="F35" s="613">
        <v>15468.39</v>
      </c>
      <c r="G35" s="86">
        <f>H35-F35</f>
        <v>45804.81</v>
      </c>
      <c r="H35" s="86">
        <v>61273.2</v>
      </c>
      <c r="I35" s="613">
        <v>60000</v>
      </c>
    </row>
    <row r="36" spans="1:9" x14ac:dyDescent="0.25">
      <c r="A36" s="54"/>
      <c r="B36" s="612" t="s">
        <v>237</v>
      </c>
      <c r="C36" s="89" t="s">
        <v>95</v>
      </c>
      <c r="D36" s="86"/>
      <c r="E36" s="86"/>
      <c r="F36" s="613">
        <v>4000</v>
      </c>
      <c r="G36" s="86">
        <f t="shared" ref="G36:G42" si="2">H36-F36</f>
        <v>21702.26</v>
      </c>
      <c r="H36" s="86">
        <v>25702.26</v>
      </c>
      <c r="I36" s="613">
        <v>24000</v>
      </c>
    </row>
    <row r="37" spans="1:9" x14ac:dyDescent="0.25">
      <c r="A37" s="54"/>
      <c r="B37" s="614" t="s">
        <v>238</v>
      </c>
      <c r="C37" s="89" t="s">
        <v>118</v>
      </c>
      <c r="D37" s="86"/>
      <c r="E37" s="86"/>
      <c r="F37" s="613"/>
      <c r="G37" s="86"/>
      <c r="H37" s="86"/>
      <c r="I37" s="613">
        <v>16000</v>
      </c>
    </row>
    <row r="38" spans="1:9" x14ac:dyDescent="0.25">
      <c r="A38" s="54"/>
      <c r="B38" s="612" t="s">
        <v>281</v>
      </c>
      <c r="C38" s="336" t="s">
        <v>134</v>
      </c>
      <c r="D38" s="86">
        <v>20314.599999999999</v>
      </c>
      <c r="E38" s="86">
        <v>35000</v>
      </c>
      <c r="F38" s="613">
        <v>6607.8</v>
      </c>
      <c r="G38" s="86">
        <f>H38-F38</f>
        <v>16071.91</v>
      </c>
      <c r="H38" s="86">
        <v>22679.71</v>
      </c>
      <c r="I38" s="613">
        <v>35000</v>
      </c>
    </row>
    <row r="39" spans="1:9" x14ac:dyDescent="0.25">
      <c r="A39" s="54"/>
      <c r="B39" s="612" t="s">
        <v>255</v>
      </c>
      <c r="C39" s="89" t="s">
        <v>96</v>
      </c>
      <c r="D39" s="86">
        <v>8195.57</v>
      </c>
      <c r="E39" s="86">
        <v>100000</v>
      </c>
      <c r="F39" s="613">
        <v>11160</v>
      </c>
      <c r="G39" s="86">
        <f t="shared" si="2"/>
        <v>80540</v>
      </c>
      <c r="H39" s="86">
        <v>91700</v>
      </c>
      <c r="I39" s="613">
        <v>0</v>
      </c>
    </row>
    <row r="40" spans="1:9" x14ac:dyDescent="0.25">
      <c r="A40" s="54"/>
      <c r="B40" s="612" t="s">
        <v>240</v>
      </c>
      <c r="C40" s="89" t="s">
        <v>99</v>
      </c>
      <c r="D40" s="86">
        <v>3740</v>
      </c>
      <c r="E40" s="86">
        <v>22000</v>
      </c>
      <c r="F40" s="613">
        <v>2010</v>
      </c>
      <c r="G40" s="86">
        <f t="shared" si="2"/>
        <v>6250</v>
      </c>
      <c r="H40" s="86">
        <v>8260</v>
      </c>
      <c r="I40" s="613">
        <v>22000</v>
      </c>
    </row>
    <row r="41" spans="1:9" x14ac:dyDescent="0.25">
      <c r="A41" s="54"/>
      <c r="B41" s="614" t="s">
        <v>241</v>
      </c>
      <c r="C41" s="89" t="s">
        <v>128</v>
      </c>
      <c r="D41" s="86">
        <v>60000</v>
      </c>
      <c r="E41" s="86">
        <v>90000</v>
      </c>
      <c r="F41" s="613">
        <v>30000</v>
      </c>
      <c r="G41" s="86">
        <f t="shared" si="2"/>
        <v>30000</v>
      </c>
      <c r="H41" s="86">
        <v>60000</v>
      </c>
      <c r="I41" s="613">
        <v>60000</v>
      </c>
    </row>
    <row r="42" spans="1:9" x14ac:dyDescent="0.25">
      <c r="A42" s="136"/>
      <c r="B42" s="615" t="s">
        <v>259</v>
      </c>
      <c r="C42" s="96" t="s">
        <v>97</v>
      </c>
      <c r="D42" s="197">
        <v>38560</v>
      </c>
      <c r="E42" s="197">
        <v>10000</v>
      </c>
      <c r="F42" s="616"/>
      <c r="G42" s="197">
        <f t="shared" si="2"/>
        <v>0</v>
      </c>
      <c r="H42" s="197"/>
      <c r="I42" s="616">
        <v>0</v>
      </c>
    </row>
    <row r="43" spans="1:9" x14ac:dyDescent="0.25">
      <c r="A43" s="564" t="s">
        <v>15</v>
      </c>
      <c r="B43" s="579"/>
      <c r="C43" s="142"/>
      <c r="D43" s="542">
        <f>SUM(D33:D42)</f>
        <v>301804.91000000003</v>
      </c>
      <c r="E43" s="542">
        <f t="shared" ref="E43:H43" si="3">SUM(E33:E42)</f>
        <v>447000</v>
      </c>
      <c r="F43" s="542">
        <f t="shared" si="3"/>
        <v>149454.19</v>
      </c>
      <c r="G43" s="542">
        <f t="shared" si="3"/>
        <v>247106.97999999998</v>
      </c>
      <c r="H43" s="542">
        <f t="shared" si="3"/>
        <v>396561.17000000004</v>
      </c>
      <c r="I43" s="542">
        <f>SUM(I33:I42)</f>
        <v>347000</v>
      </c>
    </row>
    <row r="44" spans="1:9" x14ac:dyDescent="0.25">
      <c r="A44" s="141" t="s">
        <v>26</v>
      </c>
      <c r="B44" s="544"/>
      <c r="C44" s="394"/>
      <c r="D44" s="148"/>
      <c r="E44" s="148"/>
      <c r="F44" s="148"/>
      <c r="G44" s="148"/>
      <c r="H44" s="148"/>
      <c r="I44" s="148"/>
    </row>
    <row r="45" spans="1:9" x14ac:dyDescent="0.25">
      <c r="A45" s="54"/>
      <c r="B45" s="105" t="s">
        <v>277</v>
      </c>
      <c r="C45" s="89" t="s">
        <v>133</v>
      </c>
      <c r="D45" s="199"/>
      <c r="E45" s="199"/>
      <c r="F45" s="199"/>
      <c r="G45" s="199"/>
      <c r="H45" s="199"/>
      <c r="I45" s="199">
        <v>157000</v>
      </c>
    </row>
    <row r="46" spans="1:9" x14ac:dyDescent="0.25">
      <c r="A46" s="54"/>
      <c r="B46" s="105" t="s">
        <v>243</v>
      </c>
      <c r="C46" s="336" t="s">
        <v>110</v>
      </c>
      <c r="D46" s="403"/>
      <c r="E46" s="403"/>
      <c r="F46" s="403"/>
      <c r="G46" s="403"/>
      <c r="H46" s="403"/>
      <c r="I46" s="403">
        <v>0</v>
      </c>
    </row>
    <row r="47" spans="1:9" x14ac:dyDescent="0.25">
      <c r="A47" s="54"/>
      <c r="B47" s="105" t="s">
        <v>244</v>
      </c>
      <c r="C47" s="201" t="s">
        <v>108</v>
      </c>
      <c r="D47" s="403"/>
      <c r="E47" s="403"/>
      <c r="F47" s="403"/>
      <c r="G47" s="403"/>
      <c r="H47" s="403"/>
      <c r="I47" s="403"/>
    </row>
    <row r="48" spans="1:9" x14ac:dyDescent="0.25">
      <c r="A48" s="54"/>
      <c r="B48" s="105" t="s">
        <v>245</v>
      </c>
      <c r="C48" s="201" t="s">
        <v>107</v>
      </c>
      <c r="D48" s="403"/>
      <c r="E48" s="403"/>
      <c r="F48" s="403"/>
      <c r="G48" s="403"/>
      <c r="H48" s="403"/>
      <c r="I48" s="403"/>
    </row>
    <row r="49" spans="1:9" x14ac:dyDescent="0.25">
      <c r="A49" s="136"/>
      <c r="B49" s="501" t="s">
        <v>282</v>
      </c>
      <c r="C49" s="546"/>
      <c r="D49" s="195"/>
      <c r="E49" s="203"/>
      <c r="F49" s="203"/>
      <c r="G49" s="203"/>
      <c r="H49" s="203"/>
      <c r="I49" s="203">
        <v>25000</v>
      </c>
    </row>
    <row r="50" spans="1:9" x14ac:dyDescent="0.25">
      <c r="A50" s="142" t="s">
        <v>72</v>
      </c>
      <c r="B50" s="142"/>
      <c r="C50" s="142"/>
      <c r="D50" s="542">
        <f>SUM(D45:D49)</f>
        <v>0</v>
      </c>
      <c r="E50" s="542">
        <f t="shared" ref="E50:H50" si="4">SUM(E45:E49)</f>
        <v>0</v>
      </c>
      <c r="F50" s="542">
        <f t="shared" si="4"/>
        <v>0</v>
      </c>
      <c r="G50" s="542">
        <f t="shared" si="4"/>
        <v>0</v>
      </c>
      <c r="H50" s="542">
        <f t="shared" si="4"/>
        <v>0</v>
      </c>
      <c r="I50" s="542">
        <f>SUM(I45:I49)</f>
        <v>182000</v>
      </c>
    </row>
    <row r="51" spans="1:9" x14ac:dyDescent="0.25">
      <c r="A51" s="542" t="s">
        <v>20</v>
      </c>
      <c r="B51" s="542"/>
      <c r="C51" s="204"/>
      <c r="D51" s="547">
        <f t="shared" ref="D51:I51" si="5">D31+D43+D50</f>
        <v>2261646.7599999998</v>
      </c>
      <c r="E51" s="547">
        <f t="shared" si="5"/>
        <v>3328429.53</v>
      </c>
      <c r="F51" s="547">
        <f t="shared" si="5"/>
        <v>1396587.3800000001</v>
      </c>
      <c r="G51" s="547">
        <f t="shared" si="5"/>
        <v>1638916.95</v>
      </c>
      <c r="H51" s="547">
        <f t="shared" si="5"/>
        <v>3035504.3299999996</v>
      </c>
      <c r="I51" s="547">
        <f t="shared" si="5"/>
        <v>3705129.2386979996</v>
      </c>
    </row>
    <row r="52" spans="1:9" x14ac:dyDescent="0.25">
      <c r="B52" s="150"/>
      <c r="C52" s="151"/>
      <c r="D52" s="152"/>
      <c r="E52" s="152"/>
      <c r="F52" s="152"/>
      <c r="G52" s="149"/>
      <c r="H52" s="149"/>
      <c r="I52" s="149"/>
    </row>
    <row r="53" spans="1:9" ht="30" customHeight="1" x14ac:dyDescent="0.25">
      <c r="B53" s="153" t="s">
        <v>22</v>
      </c>
      <c r="C53" s="36" t="s">
        <v>23</v>
      </c>
      <c r="F53" s="113"/>
      <c r="G53" s="36" t="s">
        <v>24</v>
      </c>
    </row>
    <row r="54" spans="1:9" ht="30.75" customHeight="1" x14ac:dyDescent="0.25">
      <c r="F54" s="113"/>
    </row>
    <row r="55" spans="1:9" x14ac:dyDescent="0.25">
      <c r="B55" s="216" t="s">
        <v>135</v>
      </c>
      <c r="C55" s="1128" t="s">
        <v>51</v>
      </c>
      <c r="D55" s="1128"/>
      <c r="E55" s="1128"/>
      <c r="F55" s="1128"/>
      <c r="G55" s="1085" t="s">
        <v>117</v>
      </c>
      <c r="H55" s="1085"/>
      <c r="I55" s="1085"/>
    </row>
    <row r="56" spans="1:9" x14ac:dyDescent="0.25">
      <c r="B56" s="206" t="s">
        <v>63</v>
      </c>
      <c r="C56" s="1070" t="s">
        <v>64</v>
      </c>
      <c r="D56" s="1070"/>
      <c r="E56" s="1070"/>
      <c r="F56" s="1070"/>
      <c r="G56" s="1070" t="s">
        <v>67</v>
      </c>
      <c r="H56" s="1070"/>
      <c r="I56" s="1070"/>
    </row>
    <row r="57" spans="1:9" ht="21" x14ac:dyDescent="0.35">
      <c r="B57" s="119"/>
      <c r="C57" s="119"/>
      <c r="D57" s="119"/>
      <c r="E57" s="119"/>
      <c r="F57" s="119"/>
      <c r="G57" s="119"/>
      <c r="H57" s="119"/>
      <c r="I57" s="119"/>
    </row>
    <row r="58" spans="1:9" ht="21" x14ac:dyDescent="0.35">
      <c r="B58" s="119"/>
      <c r="C58" s="119"/>
      <c r="D58" s="119"/>
      <c r="E58" s="119"/>
      <c r="F58" s="119"/>
      <c r="G58" s="119"/>
      <c r="H58" s="119"/>
      <c r="I58" s="119"/>
    </row>
    <row r="59" spans="1:9" ht="21" x14ac:dyDescent="0.35">
      <c r="B59" s="119"/>
      <c r="C59" s="119"/>
      <c r="D59" s="119"/>
      <c r="E59" s="119"/>
      <c r="F59" s="119"/>
      <c r="G59" s="119"/>
      <c r="H59" s="119"/>
      <c r="I59" s="119"/>
    </row>
    <row r="60" spans="1:9" x14ac:dyDescent="0.25">
      <c r="D60" s="37"/>
      <c r="E60" s="37"/>
      <c r="H60" s="37"/>
    </row>
    <row r="61" spans="1:9" x14ac:dyDescent="0.25">
      <c r="D61" s="139"/>
      <c r="E61" s="139"/>
      <c r="F61" s="139"/>
      <c r="G61" s="139"/>
      <c r="H61" s="139"/>
    </row>
  </sheetData>
  <sheetProtection algorithmName="SHA-512" hashValue="GxO0ZE+8NiqobCKZS+gQ+u2RJxu0YXKaCZUmCppNSf+AxZru/SjOmkc/sLLZcbNeMBNiZeR74vMWJC7nMw6zug==" saltValue="nx1chGGYU2GoRqU4QFsdAA==" spinCount="100000" sheet="1" objects="1" scenarios="1" selectLockedCells="1" selectUnlockedCells="1"/>
  <mergeCells count="10">
    <mergeCell ref="A3:I3"/>
    <mergeCell ref="A4:I4"/>
    <mergeCell ref="C55:F55"/>
    <mergeCell ref="G55:I55"/>
    <mergeCell ref="C56:F56"/>
    <mergeCell ref="G56:I56"/>
    <mergeCell ref="B10:B11"/>
    <mergeCell ref="C10:C11"/>
    <mergeCell ref="F10:H10"/>
    <mergeCell ref="E10:E14"/>
  </mergeCells>
  <printOptions horizontalCentered="1"/>
  <pageMargins left="0.38" right="0" top="0.75" bottom="0" header="0" footer="0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33</vt:i4>
      </vt:variant>
    </vt:vector>
  </HeadingPairs>
  <TitlesOfParts>
    <vt:vector size="62" baseType="lpstr">
      <vt:lpstr>summary</vt:lpstr>
      <vt:lpstr>MO</vt:lpstr>
      <vt:lpstr>MO(Misc.)</vt:lpstr>
      <vt:lpstr>SB(L)</vt:lpstr>
      <vt:lpstr>SB(S)</vt:lpstr>
      <vt:lpstr>MPDC</vt:lpstr>
      <vt:lpstr>LCR</vt:lpstr>
      <vt:lpstr>MBO</vt:lpstr>
      <vt:lpstr>Accounting</vt:lpstr>
      <vt:lpstr>MTO</vt:lpstr>
      <vt:lpstr>Assessor</vt:lpstr>
      <vt:lpstr>MHO</vt:lpstr>
      <vt:lpstr>MSWD</vt:lpstr>
      <vt:lpstr>Agri</vt:lpstr>
      <vt:lpstr>MEO</vt:lpstr>
      <vt:lpstr>MENRO</vt:lpstr>
      <vt:lpstr>LDRRM</vt:lpstr>
      <vt:lpstr>MRKT</vt:lpstr>
      <vt:lpstr>piwas</vt:lpstr>
      <vt:lpstr>20%</vt:lpstr>
      <vt:lpstr>5%</vt:lpstr>
      <vt:lpstr>mpdc2018</vt:lpstr>
      <vt:lpstr>ASSESS</vt:lpstr>
      <vt:lpstr>AGRI (2)</vt:lpstr>
      <vt:lpstr>MENRO (2)</vt:lpstr>
      <vt:lpstr>Peace&amp;Order</vt:lpstr>
      <vt:lpstr>LCPC</vt:lpstr>
      <vt:lpstr>PWD-OSCA</vt:lpstr>
      <vt:lpstr>GAD</vt:lpstr>
      <vt:lpstr>'20%'!Print_Area</vt:lpstr>
      <vt:lpstr>Accounting!Print_Area</vt:lpstr>
      <vt:lpstr>Agri!Print_Area</vt:lpstr>
      <vt:lpstr>'AGRI (2)'!Print_Area</vt:lpstr>
      <vt:lpstr>ASSESS!Print_Area</vt:lpstr>
      <vt:lpstr>Assessor!Print_Area</vt:lpstr>
      <vt:lpstr>GAD!Print_Area</vt:lpstr>
      <vt:lpstr>LCPC!Print_Area</vt:lpstr>
      <vt:lpstr>LCR!Print_Area</vt:lpstr>
      <vt:lpstr>LDRRM!Print_Area</vt:lpstr>
      <vt:lpstr>MBO!Print_Area</vt:lpstr>
      <vt:lpstr>MENRO!Print_Area</vt:lpstr>
      <vt:lpstr>'MENRO (2)'!Print_Area</vt:lpstr>
      <vt:lpstr>MEO!Print_Area</vt:lpstr>
      <vt:lpstr>MHO!Print_Area</vt:lpstr>
      <vt:lpstr>MO!Print_Area</vt:lpstr>
      <vt:lpstr>'MO(Misc.)'!Print_Area</vt:lpstr>
      <vt:lpstr>MPDC!Print_Area</vt:lpstr>
      <vt:lpstr>mpdc2018!Print_Area</vt:lpstr>
      <vt:lpstr>MRKT!Print_Area</vt:lpstr>
      <vt:lpstr>MSWD!Print_Area</vt:lpstr>
      <vt:lpstr>MTO!Print_Area</vt:lpstr>
      <vt:lpstr>piwas!Print_Area</vt:lpstr>
      <vt:lpstr>'PWD-OSCA'!Print_Area</vt:lpstr>
      <vt:lpstr>'SB(L)'!Print_Area</vt:lpstr>
      <vt:lpstr>'SB(S)'!Print_Area</vt:lpstr>
      <vt:lpstr>GAD!Print_Titles</vt:lpstr>
      <vt:lpstr>LCR!Print_Titles</vt:lpstr>
      <vt:lpstr>MBO!Print_Titles</vt:lpstr>
      <vt:lpstr>'MO(Misc.)'!Print_Titles</vt:lpstr>
      <vt:lpstr>mpdc2018!Print_Titles</vt:lpstr>
      <vt:lpstr>MSWD!Print_Titles</vt:lpstr>
      <vt:lpstr>'Peace&amp;Order'!Print_Titles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RECHEL</dc:creator>
  <cp:lastModifiedBy>DILG-327</cp:lastModifiedBy>
  <cp:lastPrinted>2019-03-19T03:06:12Z</cp:lastPrinted>
  <dcterms:created xsi:type="dcterms:W3CDTF">2016-08-06T07:39:20Z</dcterms:created>
  <dcterms:modified xsi:type="dcterms:W3CDTF">2019-03-21T01:42:54Z</dcterms:modified>
</cp:coreProperties>
</file>