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6" activeTab="6"/>
  </bookViews>
  <sheets>
    <sheet name="3rd qtr" sheetId="1" state="hidden" r:id="rId1"/>
    <sheet name="4th qtr" sheetId="2" state="hidden" r:id="rId2"/>
    <sheet name="1st qtr 2017" sheetId="3" state="hidden" r:id="rId3"/>
    <sheet name="2nd qtr 2017" sheetId="4" state="hidden" r:id="rId4"/>
    <sheet name="3rd qtr 2017" sheetId="5" state="hidden" r:id="rId5"/>
    <sheet name="4th qtr 2017" sheetId="6" state="hidden" r:id="rId6"/>
    <sheet name="3rd qtr 2019" sheetId="7" r:id="rId7"/>
  </sheets>
  <definedNames>
    <definedName name="_xlnm.Print_Area" localSheetId="2">'1st qtr 2017'!$A$1:$L$92</definedName>
    <definedName name="_xlnm.Print_Area" localSheetId="3">'2nd qtr 2017'!$A$1:$L$92</definedName>
    <definedName name="_xlnm.Print_Area" localSheetId="4">'3rd qtr 2017'!$A$1:$L$92</definedName>
    <definedName name="_xlnm.Print_Area" localSheetId="6">'3rd qtr 2019'!$A$1:$L$105</definedName>
    <definedName name="_xlnm.Print_Area" localSheetId="1">'4th qtr'!$A$1:$L$93</definedName>
    <definedName name="_xlnm.Print_Area" localSheetId="5">'4th qtr 2017'!$A$1:$L$92</definedName>
    <definedName name="_xlnm.Print_Titles" localSheetId="2">'1st qtr 2017'!$8:$9</definedName>
    <definedName name="_xlnm.Print_Titles" localSheetId="3">'2nd qtr 2017'!$8:$9</definedName>
    <definedName name="_xlnm.Print_Titles" localSheetId="0">'3rd qtr'!$8:$9</definedName>
    <definedName name="_xlnm.Print_Titles" localSheetId="4">'3rd qtr 2017'!$8:$9</definedName>
    <definedName name="_xlnm.Print_Titles" localSheetId="6">'3rd qtr 2019'!$8:$9</definedName>
    <definedName name="_xlnm.Print_Titles" localSheetId="1">'4th qtr'!$8:$9</definedName>
    <definedName name="_xlnm.Print_Titles" localSheetId="5">'4th qtr 2017'!$8:$9</definedName>
  </definedNames>
  <calcPr fullCalcOnLoad="1"/>
</workbook>
</file>

<file path=xl/sharedStrings.xml><?xml version="1.0" encoding="utf-8"?>
<sst xmlns="http://schemas.openxmlformats.org/spreadsheetml/2006/main" count="1351" uniqueCount="118">
  <si>
    <t>Location</t>
  </si>
  <si>
    <t>Date Started</t>
  </si>
  <si>
    <t>Target Completion Date</t>
  </si>
  <si>
    <t>Project Status</t>
  </si>
  <si>
    <t>% of Completion</t>
  </si>
  <si>
    <t>Total Cost Incurred To Date</t>
  </si>
  <si>
    <t>Remarks</t>
  </si>
  <si>
    <t>Certified Correct:</t>
  </si>
  <si>
    <t>Approved by:</t>
  </si>
  <si>
    <t>Municipal Accountant- Designate</t>
  </si>
  <si>
    <t>Municipal Mayor</t>
  </si>
  <si>
    <t>Poblacion, Pilar, Bohol</t>
  </si>
  <si>
    <t>BEA PROJECTS</t>
  </si>
  <si>
    <t>Package 1</t>
  </si>
  <si>
    <t>Repair and Rehab of Day Care Center</t>
  </si>
  <si>
    <t>Proper Buenasuerte, pilar, Bohol</t>
  </si>
  <si>
    <t>completed</t>
  </si>
  <si>
    <t>Inaghuban, Pilar, Bohol</t>
  </si>
  <si>
    <t>La Suerte, Pilar, Bohol</t>
  </si>
  <si>
    <t>Lumbay, Pilar, Bohol</t>
  </si>
  <si>
    <t>Lundag, Pilar, Bohol</t>
  </si>
  <si>
    <t>Sub-Total</t>
  </si>
  <si>
    <t>Package 2</t>
  </si>
  <si>
    <t>Aurora, Pilar, Bohol</t>
  </si>
  <si>
    <t>Mahayahay, Buenasuerte, Pilar, bohol</t>
  </si>
  <si>
    <t>Buenasuerte, Pilar, Bohol</t>
  </si>
  <si>
    <t>Repair and Rehab of Health Center</t>
  </si>
  <si>
    <t>San Isidro, Pilar, Bohol</t>
  </si>
  <si>
    <t>Package 3</t>
  </si>
  <si>
    <t>Proper Catagdaan, Pilar, Bohol</t>
  </si>
  <si>
    <t>on going</t>
  </si>
  <si>
    <t>Danao Catagdaan, Pilar, Bohol</t>
  </si>
  <si>
    <t>Sitio Suba estaca, Pilar, Bohol</t>
  </si>
  <si>
    <t>San Carlos, Pilar, Bohol</t>
  </si>
  <si>
    <t>San Vicente, Pilar, Bohol</t>
  </si>
  <si>
    <t>Package 4</t>
  </si>
  <si>
    <t>Del Pilar, Pilar, Bohol</t>
  </si>
  <si>
    <t>Ilaud, Pilar, Bohol</t>
  </si>
  <si>
    <t>Pamacsalan, Pilar, Bohol</t>
  </si>
  <si>
    <t>Rizal, Pilar, Bohol</t>
  </si>
  <si>
    <t>Package 5</t>
  </si>
  <si>
    <t>Repair and Rehab of RHU Building</t>
  </si>
  <si>
    <t>Repair and Rehab of Purok 3 Day Care Building</t>
  </si>
  <si>
    <t>Bagumbayan, Pilar, Bohol</t>
  </si>
  <si>
    <t>Bagacay, Pilar, Bohol</t>
  </si>
  <si>
    <t>Package 6</t>
  </si>
  <si>
    <t>Bayong, Pilar, Bohol</t>
  </si>
  <si>
    <t>Cagawasan, Pilar, Bohol</t>
  </si>
  <si>
    <t>Cansungay, Pilar, Bohol</t>
  </si>
  <si>
    <t>Proper Estaca, Pilar, Bohol</t>
  </si>
  <si>
    <t>Repair and Rehab of Malinao Day Care Center</t>
  </si>
  <si>
    <t>Repair and Rehab of TESDA Building</t>
  </si>
  <si>
    <t>Repair and Rehab of Poblacion Public Market</t>
  </si>
  <si>
    <t>Repair and Rehab of Bagumbayan Public Market</t>
  </si>
  <si>
    <t>Repair and Rehab of San Isidro Public Market</t>
  </si>
  <si>
    <t>Repair and Rehab of Pilar Municipal Hall</t>
  </si>
  <si>
    <t>Total BEA Projects</t>
  </si>
  <si>
    <t>Construction of CICL Building</t>
  </si>
  <si>
    <t>SEA K Project</t>
  </si>
  <si>
    <t>Rehabilitation of 150M bayong to San Carlos FMR</t>
  </si>
  <si>
    <t>Pilar, Bohol</t>
  </si>
  <si>
    <t>Proposed Expansion/ Improvement of Pilar Waterworks System</t>
  </si>
  <si>
    <t>Ilaud, Pilar, bohol</t>
  </si>
  <si>
    <t>HON. NECITAS T. CUBRADO</t>
  </si>
  <si>
    <t>Repair and Rehab of Tantarung Day Care Center</t>
  </si>
  <si>
    <t>Total</t>
  </si>
  <si>
    <t>FDP Form 6- Trust Fund Utilization</t>
  </si>
  <si>
    <t>CONSOLIDATED QUARTERLY REPORT ON GOVERNMENT PROJECTS, PROGRAMS or ACTIVITIES</t>
  </si>
  <si>
    <t>Municipality: Pilar, Bohol</t>
  </si>
  <si>
    <t>Program or Project</t>
  </si>
  <si>
    <t>Allocation Cost (funds downloaded BEA-DILG fund and LGU counterpart)</t>
  </si>
  <si>
    <t>Bid Cost (with variation order)</t>
  </si>
  <si>
    <t>Balance (allocation cost less total cost incurred)</t>
  </si>
  <si>
    <t>No. of Extensions, if any</t>
  </si>
  <si>
    <t>Pilar GYMP</t>
  </si>
  <si>
    <t>Rehab/Repair</t>
  </si>
  <si>
    <t>Bagumbayan</t>
  </si>
  <si>
    <t>Public Mkt.</t>
  </si>
  <si>
    <t>B/bayan, Pilar</t>
  </si>
  <si>
    <t>on-going</t>
  </si>
  <si>
    <t>FOR THE THIRD QUARTER, CY 2016</t>
  </si>
  <si>
    <t>ELAINE E. RESUSTA, CPA</t>
  </si>
  <si>
    <t>FOR THE FOURTH QUARTER, CY 2016</t>
  </si>
  <si>
    <t>Rehabilitation/ Upgrading of Level III Water Supply/ including Water Treatment</t>
  </si>
  <si>
    <t>OR# 0412316 dated September 1, 2016; v# 094</t>
  </si>
  <si>
    <t>Construction of Evacuation Facility CY 2016</t>
  </si>
  <si>
    <t>or# 0412317 dated September 1, 2016; v# 094</t>
  </si>
  <si>
    <t>Other project Funded by NGA</t>
  </si>
  <si>
    <t>Construction of Early Childhood Care and Development Council Building</t>
  </si>
  <si>
    <t>or# 0414328 dated November 17, 2016 v# 121</t>
  </si>
  <si>
    <t>BUB Projects</t>
  </si>
  <si>
    <t>Total BUB Projects</t>
  </si>
  <si>
    <t>detailed estimates subject for approval and go signal from DILG Regional Office</t>
  </si>
  <si>
    <t>FOR THE FIRST QUARTER, CY 2016</t>
  </si>
  <si>
    <t>FOR THE SECOND QUARTER, CY 2017</t>
  </si>
  <si>
    <t>FOR THE THIRD QUARTER, CY 2017</t>
  </si>
  <si>
    <t>EUGENIO B. DATAHAN II</t>
  </si>
  <si>
    <t>Construction of MDRRMC Building (Phase IV)</t>
  </si>
  <si>
    <t>FOR THE FOURTH QUARTER, CY 2017</t>
  </si>
  <si>
    <t>Local Access Road- Local Road Upgrading Estaca to San Isidro Barangay Road</t>
  </si>
  <si>
    <t>Local Access Road- Local Road Upgrading San Isidro to La Suerte Barangay Road</t>
  </si>
  <si>
    <t>TOTAL</t>
  </si>
  <si>
    <t>Estaca to San Isidro, Pilar, Bohol</t>
  </si>
  <si>
    <t>San Isidro to La Suerte, Pilar, Bohol</t>
  </si>
  <si>
    <t>Construction of Filtration System in Barangays Ilaud, Bayong and San Carlos, Pilar, Bohol</t>
  </si>
  <si>
    <t>Ilaud, Bayong and San Carlos, Pilar, Bohol</t>
  </si>
  <si>
    <t>LOCAL FUNDED PROJECTS</t>
  </si>
  <si>
    <t>Repair and Rehabilitation of 6.0 KM Estaca-San Isidro-La Suerte FMR</t>
  </si>
  <si>
    <t>Bagumbayan Pilar, Bohol</t>
  </si>
  <si>
    <t>Improvement and Rehabilitation of .26KM Public Market Access Road</t>
  </si>
  <si>
    <t>on-going construction</t>
  </si>
  <si>
    <t>Improvement of Bagumbayan Access Roadwith Bus Terminal</t>
  </si>
  <si>
    <t>Improvement of San Isidro Public Market</t>
  </si>
  <si>
    <t>Pilar resettlement Project- Phase I</t>
  </si>
  <si>
    <t>FOR THE THIRD QUARTER, CY 2019</t>
  </si>
  <si>
    <t>JOE ALFRED REY B. BUSANO, CPA</t>
  </si>
  <si>
    <t>Municipal Accountant</t>
  </si>
  <si>
    <t>Acting Municipal Mayor</t>
  </si>
</sst>
</file>

<file path=xl/styles.xml><?xml version="1.0" encoding="utf-8"?>
<styleSheet xmlns="http://schemas.openxmlformats.org/spreadsheetml/2006/main">
  <numFmts count="1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ddd\,\ mmmm\ dd\,\ yyyy"/>
    <numFmt numFmtId="17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171" fontId="18" fillId="0" borderId="0" xfId="42" applyFont="1" applyFill="1" applyAlignment="1">
      <alignment/>
    </xf>
    <xf numFmtId="0" fontId="18" fillId="0" borderId="0" xfId="0" applyFont="1" applyFill="1" applyAlignment="1">
      <alignment horizontal="center"/>
    </xf>
    <xf numFmtId="9" fontId="18" fillId="0" borderId="0" xfId="57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9" fontId="18" fillId="0" borderId="11" xfId="57" applyFont="1" applyFill="1" applyBorder="1" applyAlignment="1">
      <alignment horizontal="center" vertical="center" wrapText="1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71" fontId="18" fillId="0" borderId="10" xfId="42" applyFont="1" applyFill="1" applyBorder="1" applyAlignment="1">
      <alignment/>
    </xf>
    <xf numFmtId="172" fontId="18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/>
    </xf>
    <xf numFmtId="9" fontId="18" fillId="0" borderId="10" xfId="57" applyFont="1" applyFill="1" applyBorder="1" applyAlignment="1">
      <alignment/>
    </xf>
    <xf numFmtId="14" fontId="18" fillId="0" borderId="10" xfId="0" applyNumberFormat="1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171" fontId="18" fillId="0" borderId="12" xfId="42" applyFont="1" applyFill="1" applyBorder="1" applyAlignment="1" applyProtection="1">
      <alignment horizontal="left" vertical="center" wrapText="1"/>
      <protection locked="0"/>
    </xf>
    <xf numFmtId="171" fontId="18" fillId="0" borderId="12" xfId="42" applyFont="1" applyFill="1" applyBorder="1" applyAlignment="1">
      <alignment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0" fontId="18" fillId="0" borderId="12" xfId="57" applyNumberFormat="1" applyFont="1" applyFill="1" applyBorder="1" applyAlignment="1">
      <alignment vertical="center"/>
    </xf>
    <xf numFmtId="171" fontId="18" fillId="0" borderId="0" xfId="0" applyNumberFormat="1" applyFont="1" applyFill="1" applyAlignment="1">
      <alignment vertical="center"/>
    </xf>
    <xf numFmtId="171" fontId="18" fillId="0" borderId="10" xfId="42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171" fontId="18" fillId="0" borderId="10" xfId="42" applyFont="1" applyFill="1" applyBorder="1" applyAlignment="1" applyProtection="1">
      <alignment horizontal="left"/>
      <protection locked="0"/>
    </xf>
    <xf numFmtId="15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/>
    </xf>
    <xf numFmtId="0" fontId="18" fillId="0" borderId="10" xfId="0" applyFont="1" applyFill="1" applyBorder="1" applyAlignment="1" applyProtection="1">
      <alignment horizontal="center"/>
      <protection locked="0"/>
    </xf>
    <xf numFmtId="171" fontId="19" fillId="0" borderId="10" xfId="42" applyFont="1" applyFill="1" applyBorder="1" applyAlignment="1">
      <alignment/>
    </xf>
    <xf numFmtId="15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0" fontId="19" fillId="0" borderId="10" xfId="57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horizontal="center"/>
      <protection locked="0"/>
    </xf>
    <xf numFmtId="172" fontId="19" fillId="0" borderId="12" xfId="0" applyNumberFormat="1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171" fontId="18" fillId="0" borderId="10" xfId="42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171" fontId="18" fillId="0" borderId="10" xfId="42" applyFont="1" applyFill="1" applyBorder="1" applyAlignment="1" applyProtection="1">
      <alignment horizontal="left" vertical="center"/>
      <protection locked="0"/>
    </xf>
    <xf numFmtId="10" fontId="18" fillId="0" borderId="10" xfId="57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left"/>
      <protection locked="0"/>
    </xf>
    <xf numFmtId="171" fontId="18" fillId="0" borderId="12" xfId="42" applyFont="1" applyFill="1" applyBorder="1" applyAlignment="1" applyProtection="1">
      <alignment horizontal="left"/>
      <protection locked="0"/>
    </xf>
    <xf numFmtId="171" fontId="18" fillId="0" borderId="10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171" fontId="18" fillId="0" borderId="12" xfId="42" applyFont="1" applyFill="1" applyBorder="1" applyAlignment="1">
      <alignment horizontal="left" wrapText="1"/>
    </xf>
    <xf numFmtId="171" fontId="18" fillId="0" borderId="10" xfId="42" applyFont="1" applyFill="1" applyBorder="1" applyAlignment="1">
      <alignment horizontal="center" wrapText="1"/>
    </xf>
    <xf numFmtId="172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vertical="center" wrapText="1"/>
      <protection locked="0"/>
    </xf>
    <xf numFmtId="171" fontId="18" fillId="0" borderId="10" xfId="42" applyFont="1" applyFill="1" applyBorder="1" applyAlignment="1">
      <alignment horizontal="left" vertical="center"/>
    </xf>
    <xf numFmtId="171" fontId="18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72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10" fontId="19" fillId="0" borderId="10" xfId="57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171" fontId="18" fillId="0" borderId="0" xfId="42" applyFont="1" applyFill="1" applyBorder="1" applyAlignment="1" applyProtection="1">
      <alignment horizontal="left"/>
      <protection locked="0"/>
    </xf>
    <xf numFmtId="171" fontId="19" fillId="0" borderId="0" xfId="42" applyFont="1" applyFill="1" applyBorder="1" applyAlignment="1">
      <alignment/>
    </xf>
    <xf numFmtId="17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0" fontId="19" fillId="0" borderId="0" xfId="57" applyNumberFormat="1" applyFont="1" applyFill="1" applyBorder="1" applyAlignment="1">
      <alignment horizontal="right"/>
    </xf>
    <xf numFmtId="171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15" fontId="18" fillId="0" borderId="10" xfId="0" applyNumberFormat="1" applyFont="1" applyFill="1" applyBorder="1" applyAlignment="1">
      <alignment vertical="center"/>
    </xf>
    <xf numFmtId="171" fontId="19" fillId="0" borderId="10" xfId="0" applyNumberFormat="1" applyFont="1" applyFill="1" applyBorder="1" applyAlignment="1">
      <alignment/>
    </xf>
    <xf numFmtId="9" fontId="19" fillId="0" borderId="10" xfId="57" applyFont="1" applyFill="1" applyBorder="1" applyAlignment="1">
      <alignment/>
    </xf>
    <xf numFmtId="171" fontId="18" fillId="0" borderId="0" xfId="42" applyFont="1" applyFill="1" applyAlignment="1">
      <alignment horizontal="right"/>
    </xf>
    <xf numFmtId="171" fontId="19" fillId="0" borderId="0" xfId="42" applyFont="1" applyFill="1" applyAlignment="1">
      <alignment/>
    </xf>
    <xf numFmtId="9" fontId="19" fillId="0" borderId="0" xfId="57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171" fontId="20" fillId="0" borderId="10" xfId="42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9" fontId="20" fillId="0" borderId="0" xfId="57" applyFont="1" applyFill="1" applyAlignment="1">
      <alignment/>
    </xf>
    <xf numFmtId="171" fontId="20" fillId="0" borderId="0" xfId="42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71" fontId="20" fillId="0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171" fontId="19" fillId="0" borderId="11" xfId="42" applyFont="1" applyFill="1" applyBorder="1" applyAlignment="1">
      <alignment/>
    </xf>
    <xf numFmtId="0" fontId="18" fillId="0" borderId="11" xfId="0" applyFont="1" applyFill="1" applyBorder="1" applyAlignment="1">
      <alignment/>
    </xf>
    <xf numFmtId="171" fontId="18" fillId="0" borderId="12" xfId="42" applyFont="1" applyFill="1" applyBorder="1" applyAlignment="1">
      <alignment/>
    </xf>
    <xf numFmtId="171" fontId="18" fillId="0" borderId="13" xfId="42" applyFont="1" applyFill="1" applyBorder="1" applyAlignment="1">
      <alignment/>
    </xf>
    <xf numFmtId="0" fontId="18" fillId="0" borderId="13" xfId="0" applyFont="1" applyFill="1" applyBorder="1" applyAlignment="1">
      <alignment/>
    </xf>
    <xf numFmtId="171" fontId="18" fillId="0" borderId="14" xfId="42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71" fontId="21" fillId="0" borderId="10" xfId="42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171" fontId="18" fillId="0" borderId="16" xfId="42" applyFont="1" applyFill="1" applyBorder="1" applyAlignment="1" applyProtection="1">
      <alignment horizontal="left"/>
      <protection locked="0"/>
    </xf>
    <xf numFmtId="171" fontId="19" fillId="0" borderId="16" xfId="42" applyFont="1" applyFill="1" applyBorder="1" applyAlignment="1">
      <alignment/>
    </xf>
    <xf numFmtId="17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0" fontId="19" fillId="0" borderId="16" xfId="57" applyNumberFormat="1" applyFont="1" applyFill="1" applyBorder="1" applyAlignment="1">
      <alignment horizontal="right"/>
    </xf>
    <xf numFmtId="171" fontId="19" fillId="0" borderId="17" xfId="42" applyFont="1" applyFill="1" applyBorder="1" applyAlignment="1">
      <alignment/>
    </xf>
    <xf numFmtId="171" fontId="18" fillId="0" borderId="0" xfId="42" applyFont="1" applyFill="1" applyBorder="1" applyAlignment="1">
      <alignment/>
    </xf>
    <xf numFmtId="0" fontId="18" fillId="0" borderId="12" xfId="0" applyFont="1" applyFill="1" applyBorder="1" applyAlignment="1" applyProtection="1">
      <alignment/>
      <protection locked="0"/>
    </xf>
    <xf numFmtId="172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0" fontId="18" fillId="0" borderId="12" xfId="57" applyNumberFormat="1" applyFont="1" applyFill="1" applyBorder="1" applyAlignment="1">
      <alignment/>
    </xf>
    <xf numFmtId="171" fontId="18" fillId="0" borderId="16" xfId="0" applyNumberFormat="1" applyFont="1" applyFill="1" applyBorder="1" applyAlignment="1">
      <alignment vertical="center"/>
    </xf>
    <xf numFmtId="171" fontId="18" fillId="0" borderId="15" xfId="42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71" fontId="18" fillId="0" borderId="11" xfId="42" applyFont="1" applyFill="1" applyBorder="1" applyAlignment="1">
      <alignment horizontal="center" vertical="center" wrapText="1"/>
    </xf>
    <xf numFmtId="171" fontId="18" fillId="0" borderId="10" xfId="42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 vertical="center"/>
    </xf>
    <xf numFmtId="171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0" fontId="19" fillId="0" borderId="10" xfId="57" applyNumberFormat="1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171" fontId="19" fillId="0" borderId="10" xfId="42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10" fontId="19" fillId="0" borderId="10" xfId="57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15" fontId="20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4" fontId="20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1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5" fontId="18" fillId="0" borderId="18" xfId="0" applyNumberFormat="1" applyFont="1" applyFill="1" applyBorder="1" applyAlignment="1">
      <alignment horizontal="center"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171" fontId="18" fillId="0" borderId="11" xfId="42" applyFont="1" applyFill="1" applyBorder="1" applyAlignment="1">
      <alignment horizontal="center" vertical="center" wrapText="1"/>
    </xf>
    <xf numFmtId="171" fontId="18" fillId="0" borderId="18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99</xdr:row>
      <xdr:rowOff>9525</xdr:rowOff>
    </xdr:from>
    <xdr:to>
      <xdr:col>10</xdr:col>
      <xdr:colOff>123825</xdr:colOff>
      <xdr:row>102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207168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99</xdr:row>
      <xdr:rowOff>104775</xdr:rowOff>
    </xdr:from>
    <xdr:to>
      <xdr:col>0</xdr:col>
      <xdr:colOff>1381125</xdr:colOff>
      <xdr:row>106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20812125"/>
          <a:ext cx="314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9DB31"/>
  </sheetPr>
  <dimension ref="A1:N86"/>
  <sheetViews>
    <sheetView zoomScalePageLayoutView="0" workbookViewId="0" topLeftCell="A49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3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9.00390625" style="1" customWidth="1"/>
    <col min="12" max="12" width="10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80</v>
      </c>
    </row>
    <row r="5" ht="12">
      <c r="A5" s="5"/>
    </row>
    <row r="6" ht="12">
      <c r="A6" s="5" t="s">
        <v>68</v>
      </c>
    </row>
    <row r="8" spans="1:12" ht="23.25" customHeight="1">
      <c r="A8" s="192" t="s">
        <v>69</v>
      </c>
      <c r="B8" s="192" t="s">
        <v>0</v>
      </c>
      <c r="C8" s="190" t="s">
        <v>70</v>
      </c>
      <c r="D8" s="183" t="s">
        <v>71</v>
      </c>
      <c r="E8" s="192" t="s">
        <v>1</v>
      </c>
      <c r="F8" s="182" t="s">
        <v>2</v>
      </c>
      <c r="G8" s="192" t="s">
        <v>3</v>
      </c>
      <c r="H8" s="192"/>
      <c r="J8" s="6"/>
      <c r="K8" s="182" t="s">
        <v>73</v>
      </c>
      <c r="L8" s="192" t="s">
        <v>6</v>
      </c>
    </row>
    <row r="9" spans="1:12" ht="57.75" customHeight="1">
      <c r="A9" s="193"/>
      <c r="B9" s="193"/>
      <c r="C9" s="191"/>
      <c r="D9" s="197"/>
      <c r="E9" s="193"/>
      <c r="F9" s="183"/>
      <c r="G9" s="7" t="s">
        <v>4</v>
      </c>
      <c r="H9" s="8" t="s">
        <v>5</v>
      </c>
      <c r="J9" s="9" t="s">
        <v>72</v>
      </c>
      <c r="K9" s="183"/>
      <c r="L9" s="19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94" t="s">
        <v>12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6"/>
    </row>
    <row r="17" spans="1:12" s="26" customFormat="1" ht="12">
      <c r="A17" s="17" t="s">
        <v>13</v>
      </c>
      <c r="B17" s="18"/>
      <c r="C17" s="19"/>
      <c r="D17" s="20"/>
      <c r="E17" s="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4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5"/>
      <c r="G19" s="31">
        <v>1</v>
      </c>
      <c r="H19" s="11">
        <v>118499.98</v>
      </c>
      <c r="I19" s="24"/>
      <c r="J19" s="11">
        <f aca="true" t="shared" si="0" ref="J19:J78">C19-H19</f>
        <v>1500.0100000000093</v>
      </c>
      <c r="K19" s="10"/>
      <c r="L19" s="10" t="s">
        <v>16</v>
      </c>
      <c r="N19" s="84">
        <f aca="true" t="shared" si="1" ref="N19:N77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5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5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6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4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5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5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5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6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4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5"/>
      <c r="G33" s="31">
        <v>0.935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5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5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6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4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7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7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8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4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7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7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7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44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7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44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8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4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7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7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7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7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7"/>
      <c r="G58" s="31">
        <v>0.7916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7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7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7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7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8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9"/>
      <c r="B65" s="189"/>
      <c r="C65" s="189"/>
      <c r="D65" s="189"/>
      <c r="E65" s="189"/>
      <c r="F65" s="189"/>
      <c r="G65" s="189"/>
      <c r="H65" s="189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</f>
        <v>10988890.45</v>
      </c>
      <c r="I69" s="24"/>
      <c r="J69" s="11">
        <f t="shared" si="0"/>
        <v>373106.44000000134</v>
      </c>
      <c r="K69" s="10"/>
      <c r="L69" s="10" t="s">
        <v>16</v>
      </c>
      <c r="N69" s="84">
        <f t="shared" si="1"/>
        <v>363075.3500000015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41766237.739999995</v>
      </c>
      <c r="I70" s="24"/>
      <c r="J70" s="33">
        <f t="shared" si="0"/>
        <v>381647.0900000036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48162421.45999999</v>
      </c>
      <c r="I71" s="24"/>
      <c r="J71" s="33">
        <f t="shared" si="0"/>
        <v>799888.640000008</v>
      </c>
      <c r="K71" s="10"/>
      <c r="L71" s="10"/>
      <c r="N71" s="84"/>
    </row>
    <row r="72" spans="1:14" s="70" customFormat="1" ht="12">
      <c r="A72" s="62"/>
      <c r="B72" s="63"/>
      <c r="C72" s="64"/>
      <c r="D72" s="65"/>
      <c r="E72" s="66"/>
      <c r="F72" s="67"/>
      <c r="G72" s="68"/>
      <c r="H72" s="65"/>
      <c r="I72" s="69"/>
      <c r="J72" s="11">
        <f t="shared" si="0"/>
        <v>0</v>
      </c>
      <c r="K72" s="10"/>
      <c r="L72" s="10"/>
      <c r="N72" s="84"/>
    </row>
    <row r="73" spans="1:14" ht="12">
      <c r="A73" s="27" t="s">
        <v>57</v>
      </c>
      <c r="B73" s="28" t="s">
        <v>11</v>
      </c>
      <c r="C73" s="29">
        <v>1585444.14</v>
      </c>
      <c r="D73" s="11">
        <v>1556523.12</v>
      </c>
      <c r="E73" s="12">
        <v>41995</v>
      </c>
      <c r="F73" s="71"/>
      <c r="G73" s="31">
        <v>1</v>
      </c>
      <c r="H73" s="11">
        <v>1556523.12</v>
      </c>
      <c r="I73" s="24">
        <f>D73-H73</f>
        <v>0</v>
      </c>
      <c r="J73" s="11">
        <f t="shared" si="0"/>
        <v>28921.019999999786</v>
      </c>
      <c r="K73" s="10"/>
      <c r="L73" s="10" t="s">
        <v>16</v>
      </c>
      <c r="N73" s="84">
        <f t="shared" si="1"/>
        <v>0</v>
      </c>
    </row>
    <row r="74" spans="1:14" ht="12">
      <c r="A74" s="27" t="s">
        <v>58</v>
      </c>
      <c r="B74" s="28" t="s">
        <v>27</v>
      </c>
      <c r="C74" s="29">
        <v>190000</v>
      </c>
      <c r="D74" s="11">
        <v>190000</v>
      </c>
      <c r="E74" s="12"/>
      <c r="F74" s="10"/>
      <c r="G74" s="31">
        <v>1</v>
      </c>
      <c r="H74" s="11">
        <v>190000</v>
      </c>
      <c r="I74" s="24">
        <f>D74-H74</f>
        <v>0</v>
      </c>
      <c r="J74" s="11">
        <f t="shared" si="0"/>
        <v>0</v>
      </c>
      <c r="K74" s="10"/>
      <c r="L74" s="10" t="s">
        <v>16</v>
      </c>
      <c r="N74" s="84">
        <f t="shared" si="1"/>
        <v>0</v>
      </c>
    </row>
    <row r="75" spans="1:14" ht="12">
      <c r="A75" s="72" t="s">
        <v>58</v>
      </c>
      <c r="B75" s="28" t="s">
        <v>36</v>
      </c>
      <c r="C75" s="29">
        <v>237500</v>
      </c>
      <c r="D75" s="11">
        <v>237500</v>
      </c>
      <c r="E75" s="12"/>
      <c r="F75" s="10"/>
      <c r="G75" s="31">
        <v>1</v>
      </c>
      <c r="H75" s="11">
        <v>237500</v>
      </c>
      <c r="I75" s="24">
        <f>D75-H75</f>
        <v>0</v>
      </c>
      <c r="J75" s="11">
        <f t="shared" si="0"/>
        <v>0</v>
      </c>
      <c r="K75" s="10"/>
      <c r="L75" s="10" t="s">
        <v>16</v>
      </c>
      <c r="N75" s="84">
        <f t="shared" si="1"/>
        <v>0</v>
      </c>
    </row>
    <row r="76" spans="1:14" s="26" customFormat="1" ht="24">
      <c r="A76" s="72" t="s">
        <v>59</v>
      </c>
      <c r="B76" s="41" t="s">
        <v>60</v>
      </c>
      <c r="C76" s="42">
        <v>829659.67</v>
      </c>
      <c r="D76" s="25">
        <v>814179.6</v>
      </c>
      <c r="E76" s="57">
        <v>41997</v>
      </c>
      <c r="F76" s="6"/>
      <c r="G76" s="43">
        <v>1</v>
      </c>
      <c r="H76" s="25">
        <v>814179.6</v>
      </c>
      <c r="I76" s="24">
        <f>D76-H76</f>
        <v>0</v>
      </c>
      <c r="J76" s="11">
        <f t="shared" si="0"/>
        <v>15480.070000000065</v>
      </c>
      <c r="K76" s="6"/>
      <c r="L76" s="6" t="s">
        <v>16</v>
      </c>
      <c r="N76" s="84">
        <f t="shared" si="1"/>
        <v>0</v>
      </c>
    </row>
    <row r="77" spans="1:14" s="26" customFormat="1" ht="24">
      <c r="A77" s="39" t="s">
        <v>61</v>
      </c>
      <c r="B77" s="41" t="s">
        <v>62</v>
      </c>
      <c r="C77" s="42">
        <f>6539896.19+328709.04</f>
        <v>6868605.23</v>
      </c>
      <c r="D77" s="25">
        <f>6499277.73+328709.04</f>
        <v>6827986.7700000005</v>
      </c>
      <c r="E77" s="57">
        <v>42123</v>
      </c>
      <c r="F77" s="73">
        <v>42332</v>
      </c>
      <c r="G77" s="43">
        <v>1</v>
      </c>
      <c r="H77" s="25">
        <f>6215321.16+54678.84+557986.77</f>
        <v>6827986.77</v>
      </c>
      <c r="I77" s="24">
        <f>D77-H77</f>
        <v>0</v>
      </c>
      <c r="J77" s="11">
        <f t="shared" si="0"/>
        <v>40618.460000000894</v>
      </c>
      <c r="K77" s="6"/>
      <c r="L77" s="6" t="s">
        <v>16</v>
      </c>
      <c r="N77" s="84">
        <f t="shared" si="1"/>
        <v>0</v>
      </c>
    </row>
    <row r="78" spans="1:14" ht="12">
      <c r="A78" s="10" t="s">
        <v>65</v>
      </c>
      <c r="B78" s="10"/>
      <c r="C78" s="74">
        <f>SUM(C73:C77)</f>
        <v>9711209.040000001</v>
      </c>
      <c r="D78" s="74">
        <f>SUM(D73:D77)</f>
        <v>9626189.49</v>
      </c>
      <c r="E78" s="59"/>
      <c r="F78" s="35"/>
      <c r="G78" s="75"/>
      <c r="H78" s="74">
        <f>SUM(H73:H77)</f>
        <v>9626189.49</v>
      </c>
      <c r="J78" s="33">
        <f t="shared" si="0"/>
        <v>85019.55000000075</v>
      </c>
      <c r="K78" s="10"/>
      <c r="L78" s="10"/>
      <c r="N78" s="84"/>
    </row>
    <row r="82" spans="1:8" ht="12">
      <c r="A82" s="80" t="s">
        <v>7</v>
      </c>
      <c r="C82" s="76"/>
      <c r="H82" s="2" t="s">
        <v>8</v>
      </c>
    </row>
    <row r="85" spans="1:11" s="5" customFormat="1" ht="15" customHeight="1">
      <c r="A85" s="79" t="s">
        <v>81</v>
      </c>
      <c r="B85" s="81"/>
      <c r="C85" s="77"/>
      <c r="G85" s="78"/>
      <c r="J85" s="180" t="s">
        <v>63</v>
      </c>
      <c r="K85" s="180"/>
    </row>
    <row r="86" spans="1:11" ht="12">
      <c r="A86" s="83" t="s">
        <v>9</v>
      </c>
      <c r="B86" s="82"/>
      <c r="E86" s="1"/>
      <c r="H86" s="1"/>
      <c r="J86" s="181" t="s">
        <v>10</v>
      </c>
      <c r="K86" s="181"/>
    </row>
  </sheetData>
  <sheetProtection/>
  <mergeCells count="19">
    <mergeCell ref="K8:K9"/>
    <mergeCell ref="L8:L9"/>
    <mergeCell ref="A16:L16"/>
    <mergeCell ref="F32:F36"/>
    <mergeCell ref="A8:A9"/>
    <mergeCell ref="B8:B9"/>
    <mergeCell ref="D8:D9"/>
    <mergeCell ref="E8:E9"/>
    <mergeCell ref="G8:H8"/>
    <mergeCell ref="J85:K85"/>
    <mergeCell ref="J86:K86"/>
    <mergeCell ref="F8:F9"/>
    <mergeCell ref="F18:F22"/>
    <mergeCell ref="F25:F29"/>
    <mergeCell ref="F39:F42"/>
    <mergeCell ref="F45:F50"/>
    <mergeCell ref="F53:F63"/>
    <mergeCell ref="A65:H65"/>
    <mergeCell ref="C8:C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3"/>
  <sheetViews>
    <sheetView zoomScalePageLayoutView="0" workbookViewId="0" topLeftCell="A66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88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82</v>
      </c>
    </row>
    <row r="5" ht="12">
      <c r="A5" s="5"/>
    </row>
    <row r="6" ht="12">
      <c r="A6" s="5" t="s">
        <v>68</v>
      </c>
    </row>
    <row r="8" spans="1:12" ht="23.25" customHeight="1">
      <c r="A8" s="192" t="s">
        <v>69</v>
      </c>
      <c r="B8" s="192" t="s">
        <v>0</v>
      </c>
      <c r="C8" s="190" t="s">
        <v>70</v>
      </c>
      <c r="D8" s="183" t="s">
        <v>71</v>
      </c>
      <c r="E8" s="192" t="s">
        <v>1</v>
      </c>
      <c r="F8" s="182" t="s">
        <v>2</v>
      </c>
      <c r="G8" s="192" t="s">
        <v>3</v>
      </c>
      <c r="H8" s="192"/>
      <c r="J8" s="6"/>
      <c r="K8" s="182" t="s">
        <v>73</v>
      </c>
      <c r="L8" s="192" t="s">
        <v>6</v>
      </c>
    </row>
    <row r="9" spans="1:12" ht="57.75" customHeight="1">
      <c r="A9" s="193"/>
      <c r="B9" s="193"/>
      <c r="C9" s="191"/>
      <c r="D9" s="197"/>
      <c r="E9" s="193"/>
      <c r="F9" s="183"/>
      <c r="G9" s="7" t="s">
        <v>4</v>
      </c>
      <c r="H9" s="90" t="s">
        <v>5</v>
      </c>
      <c r="J9" s="86" t="s">
        <v>72</v>
      </c>
      <c r="K9" s="183"/>
      <c r="L9" s="19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94" t="s">
        <v>12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6"/>
    </row>
    <row r="17" spans="1:12" s="26" customFormat="1" ht="12">
      <c r="A17" s="17" t="s">
        <v>13</v>
      </c>
      <c r="B17" s="18"/>
      <c r="C17" s="19"/>
      <c r="D17" s="20"/>
      <c r="E17" s="89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4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5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5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5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6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4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5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5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5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6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4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5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5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5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6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4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7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7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8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4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7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7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7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8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7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8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8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4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7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7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7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7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7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7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7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7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7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8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9"/>
      <c r="B65" s="189"/>
      <c r="C65" s="189"/>
      <c r="D65" s="189"/>
      <c r="E65" s="189"/>
      <c r="F65" s="189"/>
      <c r="G65" s="189"/>
      <c r="H65" s="189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87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87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87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51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84</v>
      </c>
      <c r="N80" s="84">
        <f t="shared" si="1"/>
        <v>0</v>
      </c>
    </row>
    <row r="81" spans="1:14" s="26" customFormat="1" ht="51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86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51">
      <c r="A86" s="100" t="s">
        <v>88</v>
      </c>
      <c r="B86" s="98"/>
      <c r="C86" s="99">
        <v>2300000</v>
      </c>
      <c r="D86" s="99"/>
      <c r="E86" s="99"/>
      <c r="F86" s="99"/>
      <c r="G86" s="99"/>
      <c r="H86" s="99"/>
      <c r="I86" s="99"/>
      <c r="J86" s="25">
        <f>C86-H86</f>
        <v>2300000</v>
      </c>
      <c r="K86" s="10"/>
      <c r="L86" s="100" t="s">
        <v>89</v>
      </c>
      <c r="N86" s="84">
        <f>D86-H86</f>
        <v>0</v>
      </c>
    </row>
    <row r="89" spans="1:8" ht="12">
      <c r="A89" s="80" t="s">
        <v>7</v>
      </c>
      <c r="C89" s="76"/>
      <c r="H89" s="2" t="s">
        <v>8</v>
      </c>
    </row>
    <row r="92" spans="1:11" ht="12">
      <c r="A92" s="79" t="s">
        <v>81</v>
      </c>
      <c r="B92" s="81"/>
      <c r="C92" s="77"/>
      <c r="D92" s="5"/>
      <c r="E92" s="5"/>
      <c r="F92" s="5"/>
      <c r="G92" s="78"/>
      <c r="H92" s="5"/>
      <c r="I92" s="5"/>
      <c r="J92" s="180" t="s">
        <v>63</v>
      </c>
      <c r="K92" s="180"/>
    </row>
    <row r="93" spans="1:11" ht="12">
      <c r="A93" s="83" t="s">
        <v>9</v>
      </c>
      <c r="B93" s="82"/>
      <c r="E93" s="1"/>
      <c r="H93" s="1"/>
      <c r="J93" s="181" t="s">
        <v>10</v>
      </c>
      <c r="K93" s="181"/>
    </row>
  </sheetData>
  <sheetProtection/>
  <mergeCells count="19">
    <mergeCell ref="G8:H8"/>
    <mergeCell ref="K8:K9"/>
    <mergeCell ref="J93:K93"/>
    <mergeCell ref="F32:F36"/>
    <mergeCell ref="F39:F42"/>
    <mergeCell ref="F45:F50"/>
    <mergeCell ref="F53:F63"/>
    <mergeCell ref="A65:H65"/>
    <mergeCell ref="J92:K92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92"/>
  <sheetViews>
    <sheetView zoomScalePageLayoutView="0" workbookViewId="0" topLeftCell="A69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1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93</v>
      </c>
    </row>
    <row r="5" ht="12">
      <c r="A5" s="5"/>
    </row>
    <row r="6" ht="12">
      <c r="A6" s="5" t="s">
        <v>68</v>
      </c>
    </row>
    <row r="8" spans="1:12" ht="23.25" customHeight="1">
      <c r="A8" s="192" t="s">
        <v>69</v>
      </c>
      <c r="B8" s="192" t="s">
        <v>0</v>
      </c>
      <c r="C8" s="190" t="s">
        <v>70</v>
      </c>
      <c r="D8" s="183" t="s">
        <v>71</v>
      </c>
      <c r="E8" s="192" t="s">
        <v>1</v>
      </c>
      <c r="F8" s="182" t="s">
        <v>2</v>
      </c>
      <c r="G8" s="192" t="s">
        <v>3</v>
      </c>
      <c r="H8" s="192"/>
      <c r="J8" s="6"/>
      <c r="K8" s="182" t="s">
        <v>73</v>
      </c>
      <c r="L8" s="192" t="s">
        <v>6</v>
      </c>
    </row>
    <row r="9" spans="1:12" ht="57.75" customHeight="1">
      <c r="A9" s="193"/>
      <c r="B9" s="193"/>
      <c r="C9" s="191"/>
      <c r="D9" s="197"/>
      <c r="E9" s="193"/>
      <c r="F9" s="183"/>
      <c r="G9" s="7" t="s">
        <v>4</v>
      </c>
      <c r="H9" s="114" t="s">
        <v>5</v>
      </c>
      <c r="J9" s="110" t="s">
        <v>72</v>
      </c>
      <c r="K9" s="183"/>
      <c r="L9" s="19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94" t="s">
        <v>12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6"/>
    </row>
    <row r="17" spans="1:12" s="26" customFormat="1" ht="12">
      <c r="A17" s="17" t="s">
        <v>13</v>
      </c>
      <c r="B17" s="18"/>
      <c r="C17" s="19"/>
      <c r="D17" s="20"/>
      <c r="E17" s="11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4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5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5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5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6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4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5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5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5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6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4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5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5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5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6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4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7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7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8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4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7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7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7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0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7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0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8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4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7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7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7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7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7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7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7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7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7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8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9"/>
      <c r="B65" s="189"/>
      <c r="C65" s="189"/>
      <c r="D65" s="189"/>
      <c r="E65" s="189"/>
      <c r="F65" s="189"/>
      <c r="G65" s="189"/>
      <c r="H65" s="189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1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1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89.25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92</v>
      </c>
      <c r="N80" s="84">
        <f t="shared" si="1"/>
        <v>0</v>
      </c>
    </row>
    <row r="81" spans="1:14" s="26" customFormat="1" ht="89.25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92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/>
      <c r="E86" s="99"/>
      <c r="F86" s="99"/>
      <c r="G86" s="99"/>
      <c r="H86" s="116">
        <v>956718.59</v>
      </c>
      <c r="I86" s="99"/>
      <c r="J86" s="25">
        <f>C86-H86</f>
        <v>1343281.4100000001</v>
      </c>
      <c r="K86" s="10"/>
      <c r="L86" s="100" t="s">
        <v>79</v>
      </c>
      <c r="N86" s="84">
        <f>D86-H86</f>
        <v>-956718.59</v>
      </c>
    </row>
    <row r="88" spans="1:8" ht="12">
      <c r="A88" s="80" t="s">
        <v>7</v>
      </c>
      <c r="C88" s="76"/>
      <c r="H88" s="2" t="s">
        <v>8</v>
      </c>
    </row>
    <row r="91" spans="1:11" ht="12">
      <c r="A91" s="115" t="s">
        <v>81</v>
      </c>
      <c r="B91" s="81"/>
      <c r="C91" s="77"/>
      <c r="D91" s="5"/>
      <c r="E91" s="5"/>
      <c r="F91" s="5"/>
      <c r="G91" s="78"/>
      <c r="H91" s="5"/>
      <c r="I91" s="5"/>
      <c r="J91" s="180" t="s">
        <v>63</v>
      </c>
      <c r="K91" s="180"/>
    </row>
    <row r="92" spans="1:11" ht="12">
      <c r="A92" s="83" t="s">
        <v>9</v>
      </c>
      <c r="B92" s="82"/>
      <c r="E92" s="1"/>
      <c r="H92" s="1"/>
      <c r="J92" s="181" t="s">
        <v>10</v>
      </c>
      <c r="K92" s="181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2"/>
  <sheetViews>
    <sheetView zoomScalePageLayoutView="0" workbookViewId="0" topLeftCell="A67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0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94</v>
      </c>
    </row>
    <row r="5" ht="12">
      <c r="A5" s="5"/>
    </row>
    <row r="6" ht="12">
      <c r="A6" s="5" t="s">
        <v>68</v>
      </c>
    </row>
    <row r="8" spans="1:12" ht="23.25" customHeight="1">
      <c r="A8" s="192" t="s">
        <v>69</v>
      </c>
      <c r="B8" s="192" t="s">
        <v>0</v>
      </c>
      <c r="C8" s="190" t="s">
        <v>70</v>
      </c>
      <c r="D8" s="183" t="s">
        <v>71</v>
      </c>
      <c r="E8" s="192" t="s">
        <v>1</v>
      </c>
      <c r="F8" s="182" t="s">
        <v>2</v>
      </c>
      <c r="G8" s="192" t="s">
        <v>3</v>
      </c>
      <c r="H8" s="192"/>
      <c r="J8" s="6"/>
      <c r="K8" s="182" t="s">
        <v>73</v>
      </c>
      <c r="L8" s="192" t="s">
        <v>6</v>
      </c>
    </row>
    <row r="9" spans="1:12" ht="57.75" customHeight="1">
      <c r="A9" s="193"/>
      <c r="B9" s="193"/>
      <c r="C9" s="191"/>
      <c r="D9" s="197"/>
      <c r="E9" s="193"/>
      <c r="F9" s="183"/>
      <c r="G9" s="7" t="s">
        <v>4</v>
      </c>
      <c r="H9" s="122" t="s">
        <v>5</v>
      </c>
      <c r="J9" s="118" t="s">
        <v>72</v>
      </c>
      <c r="K9" s="183"/>
      <c r="L9" s="19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94" t="s">
        <v>12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6"/>
    </row>
    <row r="17" spans="1:12" s="26" customFormat="1" ht="12">
      <c r="A17" s="17" t="s">
        <v>13</v>
      </c>
      <c r="B17" s="18"/>
      <c r="C17" s="19"/>
      <c r="D17" s="20"/>
      <c r="E17" s="1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4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5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5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5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6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4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5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5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5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6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4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5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5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5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6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4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7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7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8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4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7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7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7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17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7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17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8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4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7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7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7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7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7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7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7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7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7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8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9"/>
      <c r="B65" s="189"/>
      <c r="C65" s="189"/>
      <c r="D65" s="189"/>
      <c r="E65" s="189"/>
      <c r="F65" s="189"/>
      <c r="G65" s="189"/>
      <c r="H65" s="189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9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9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9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v>7360000</v>
      </c>
      <c r="D80" s="92">
        <v>10298810.26</v>
      </c>
      <c r="E80" s="57"/>
      <c r="F80" s="6"/>
      <c r="G80" s="43"/>
      <c r="H80" s="25">
        <v>0</v>
      </c>
      <c r="I80" s="24"/>
      <c r="J80" s="25">
        <f>C80-H80</f>
        <v>7360000</v>
      </c>
      <c r="K80" s="6"/>
      <c r="L80" s="93" t="s">
        <v>79</v>
      </c>
      <c r="N80" s="84">
        <f t="shared" si="1"/>
        <v>10298810.26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/>
      <c r="H81" s="25">
        <v>0</v>
      </c>
      <c r="I81" s="24"/>
      <c r="J81" s="25">
        <f>C81-H81</f>
        <v>12000000</v>
      </c>
      <c r="K81" s="6"/>
      <c r="L81" s="93" t="s">
        <v>79</v>
      </c>
      <c r="N81" s="84">
        <f>D81-H81</f>
        <v>19997000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39921999.75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0.95</v>
      </c>
      <c r="H86" s="116">
        <v>2300000</v>
      </c>
      <c r="I86" s="99"/>
      <c r="J86" s="25">
        <f>C86-H86</f>
        <v>0</v>
      </c>
      <c r="K86" s="10"/>
      <c r="L86" s="100" t="s">
        <v>79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19" t="s">
        <v>81</v>
      </c>
      <c r="B91" s="81"/>
      <c r="C91" s="77"/>
      <c r="D91" s="5"/>
      <c r="E91" s="5"/>
      <c r="F91" s="5"/>
      <c r="G91" s="78"/>
      <c r="H91" s="5"/>
      <c r="I91" s="5"/>
      <c r="J91" s="180" t="s">
        <v>63</v>
      </c>
      <c r="K91" s="180"/>
    </row>
    <row r="92" spans="1:11" ht="12">
      <c r="A92" s="83" t="s">
        <v>9</v>
      </c>
      <c r="B92" s="82"/>
      <c r="E92" s="1"/>
      <c r="H92" s="1"/>
      <c r="J92" s="181" t="s">
        <v>10</v>
      </c>
      <c r="K92" s="181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92"/>
  <sheetViews>
    <sheetView zoomScale="130" zoomScaleNormal="130" zoomScalePageLayoutView="0" workbookViewId="0" topLeftCell="A1">
      <pane xSplit="2" ySplit="17" topLeftCell="F78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4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95</v>
      </c>
    </row>
    <row r="5" ht="12">
      <c r="A5" s="5"/>
    </row>
    <row r="6" ht="12">
      <c r="A6" s="5" t="s">
        <v>68</v>
      </c>
    </row>
    <row r="8" spans="1:12" ht="23.25" customHeight="1">
      <c r="A8" s="192" t="s">
        <v>69</v>
      </c>
      <c r="B8" s="192" t="s">
        <v>0</v>
      </c>
      <c r="C8" s="190" t="s">
        <v>70</v>
      </c>
      <c r="D8" s="183" t="s">
        <v>71</v>
      </c>
      <c r="E8" s="192" t="s">
        <v>1</v>
      </c>
      <c r="F8" s="182" t="s">
        <v>2</v>
      </c>
      <c r="G8" s="192" t="s">
        <v>3</v>
      </c>
      <c r="H8" s="192"/>
      <c r="J8" s="6"/>
      <c r="K8" s="182" t="s">
        <v>73</v>
      </c>
      <c r="L8" s="192" t="s">
        <v>6</v>
      </c>
    </row>
    <row r="9" spans="1:12" ht="57.75" customHeight="1">
      <c r="A9" s="193"/>
      <c r="B9" s="193"/>
      <c r="C9" s="191"/>
      <c r="D9" s="197"/>
      <c r="E9" s="193"/>
      <c r="F9" s="183"/>
      <c r="G9" s="7" t="s">
        <v>4</v>
      </c>
      <c r="H9" s="128" t="s">
        <v>5</v>
      </c>
      <c r="J9" s="126" t="s">
        <v>72</v>
      </c>
      <c r="K9" s="183"/>
      <c r="L9" s="19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D14-H14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94" t="s">
        <v>12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6"/>
    </row>
    <row r="17" spans="1:12" s="26" customFormat="1" ht="12">
      <c r="A17" s="17" t="s">
        <v>13</v>
      </c>
      <c r="B17" s="18"/>
      <c r="C17" s="19"/>
      <c r="D17" s="20"/>
      <c r="E17" s="127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4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5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5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5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6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4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5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5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5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6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4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5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5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5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6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4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7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7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8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4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7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7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7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7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8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4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7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7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7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7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7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7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7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7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7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8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9"/>
      <c r="B65" s="189"/>
      <c r="C65" s="189"/>
      <c r="D65" s="189"/>
      <c r="E65" s="189"/>
      <c r="F65" s="189"/>
      <c r="G65" s="189"/>
      <c r="H65" s="189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23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23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23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23" t="s">
        <v>81</v>
      </c>
      <c r="B91" s="81"/>
      <c r="C91" s="77"/>
      <c r="D91" s="5"/>
      <c r="E91" s="5"/>
      <c r="F91" s="5"/>
      <c r="G91" s="78"/>
      <c r="H91" s="5"/>
      <c r="I91" s="5"/>
      <c r="J91" s="180" t="s">
        <v>96</v>
      </c>
      <c r="K91" s="180"/>
    </row>
    <row r="92" spans="1:11" ht="12">
      <c r="A92" s="83" t="s">
        <v>9</v>
      </c>
      <c r="B92" s="82"/>
      <c r="E92" s="1"/>
      <c r="H92" s="1"/>
      <c r="J92" s="181" t="s">
        <v>10</v>
      </c>
      <c r="K92" s="181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92"/>
  <sheetViews>
    <sheetView zoomScalePageLayoutView="0" workbookViewId="0" topLeftCell="A1">
      <pane xSplit="2" ySplit="17" topLeftCell="C62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98</v>
      </c>
    </row>
    <row r="5" ht="12">
      <c r="A5" s="5"/>
    </row>
    <row r="6" ht="12">
      <c r="A6" s="5" t="s">
        <v>68</v>
      </c>
    </row>
    <row r="8" spans="1:12" ht="23.25" customHeight="1">
      <c r="A8" s="192" t="s">
        <v>69</v>
      </c>
      <c r="B8" s="192" t="s">
        <v>0</v>
      </c>
      <c r="C8" s="190" t="s">
        <v>70</v>
      </c>
      <c r="D8" s="183" t="s">
        <v>71</v>
      </c>
      <c r="E8" s="192" t="s">
        <v>1</v>
      </c>
      <c r="F8" s="182" t="s">
        <v>2</v>
      </c>
      <c r="G8" s="192" t="s">
        <v>3</v>
      </c>
      <c r="H8" s="192"/>
      <c r="J8" s="6"/>
      <c r="K8" s="182" t="s">
        <v>73</v>
      </c>
      <c r="L8" s="192" t="s">
        <v>6</v>
      </c>
    </row>
    <row r="9" spans="1:12" ht="57.75" customHeight="1">
      <c r="A9" s="193"/>
      <c r="B9" s="193"/>
      <c r="C9" s="191"/>
      <c r="D9" s="197"/>
      <c r="E9" s="193"/>
      <c r="F9" s="183"/>
      <c r="G9" s="7" t="s">
        <v>4</v>
      </c>
      <c r="H9" s="134" t="s">
        <v>5</v>
      </c>
      <c r="J9" s="130" t="s">
        <v>72</v>
      </c>
      <c r="K9" s="183"/>
      <c r="L9" s="193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C14-H14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94" t="s">
        <v>12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6"/>
    </row>
    <row r="17" spans="1:12" s="26" customFormat="1" ht="12">
      <c r="A17" s="17" t="s">
        <v>13</v>
      </c>
      <c r="B17" s="18"/>
      <c r="C17" s="19"/>
      <c r="D17" s="20"/>
      <c r="E17" s="13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84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85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85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85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86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84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85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85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85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86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84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85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85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85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86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84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87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87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88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84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87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87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87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87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88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84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87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87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87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87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87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87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87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87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87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88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89"/>
      <c r="B65" s="189"/>
      <c r="C65" s="189"/>
      <c r="D65" s="189"/>
      <c r="E65" s="189"/>
      <c r="F65" s="189"/>
      <c r="G65" s="189"/>
      <c r="H65" s="189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3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31"/>
      <c r="G73" s="68"/>
      <c r="H73" s="65"/>
      <c r="I73" s="69"/>
      <c r="J73" s="149"/>
      <c r="N73" s="84"/>
    </row>
    <row r="74" spans="1:14" s="70" customFormat="1" ht="12">
      <c r="A74" s="141" t="s">
        <v>90</v>
      </c>
      <c r="B74" s="142"/>
      <c r="C74" s="143"/>
      <c r="D74" s="144"/>
      <c r="E74" s="145"/>
      <c r="F74" s="146"/>
      <c r="G74" s="147"/>
      <c r="H74" s="148"/>
      <c r="I74" s="154"/>
      <c r="J74" s="155"/>
      <c r="K74" s="156"/>
      <c r="L74" s="157"/>
      <c r="N74" s="84"/>
    </row>
    <row r="75" spans="1:14" ht="12">
      <c r="A75" s="150" t="s">
        <v>57</v>
      </c>
      <c r="B75" s="45" t="s">
        <v>11</v>
      </c>
      <c r="C75" s="46">
        <v>1585444.14</v>
      </c>
      <c r="D75" s="104">
        <v>1556523.12</v>
      </c>
      <c r="E75" s="151">
        <v>41995</v>
      </c>
      <c r="F75" s="152"/>
      <c r="G75" s="153">
        <v>1</v>
      </c>
      <c r="H75" s="104">
        <v>1556523.12</v>
      </c>
      <c r="I75" s="24">
        <f>D75-H75</f>
        <v>0</v>
      </c>
      <c r="J75" s="104">
        <f t="shared" si="0"/>
        <v>28921.019999999786</v>
      </c>
      <c r="K75" s="22"/>
      <c r="L75" s="22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f>2300000+137900</f>
        <v>2437900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137900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31" t="s">
        <v>81</v>
      </c>
      <c r="B91" s="81"/>
      <c r="C91" s="77"/>
      <c r="D91" s="5"/>
      <c r="E91" s="5"/>
      <c r="F91" s="5"/>
      <c r="G91" s="78"/>
      <c r="H91" s="5"/>
      <c r="I91" s="5"/>
      <c r="J91" s="180" t="s">
        <v>96</v>
      </c>
      <c r="K91" s="180"/>
    </row>
    <row r="92" spans="1:11" ht="12">
      <c r="A92" s="83" t="s">
        <v>9</v>
      </c>
      <c r="B92" s="82"/>
      <c r="E92" s="1"/>
      <c r="H92" s="1"/>
      <c r="J92" s="181" t="s">
        <v>10</v>
      </c>
      <c r="K92" s="181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5"/>
  <sheetViews>
    <sheetView tabSelected="1" zoomScalePageLayoutView="0" workbookViewId="0" topLeftCell="A99">
      <selection activeCell="C111" sqref="C111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7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114</v>
      </c>
    </row>
    <row r="5" ht="12">
      <c r="A5" s="5"/>
    </row>
    <row r="6" ht="12">
      <c r="A6" s="5" t="s">
        <v>68</v>
      </c>
    </row>
    <row r="8" spans="1:12" ht="23.25" customHeight="1">
      <c r="A8" s="192" t="s">
        <v>69</v>
      </c>
      <c r="B8" s="192" t="s">
        <v>0</v>
      </c>
      <c r="C8" s="190" t="s">
        <v>70</v>
      </c>
      <c r="D8" s="183" t="s">
        <v>71</v>
      </c>
      <c r="E8" s="192" t="s">
        <v>1</v>
      </c>
      <c r="F8" s="182" t="s">
        <v>2</v>
      </c>
      <c r="G8" s="192" t="s">
        <v>3</v>
      </c>
      <c r="H8" s="192"/>
      <c r="J8" s="6"/>
      <c r="K8" s="182" t="s">
        <v>73</v>
      </c>
      <c r="L8" s="192" t="s">
        <v>6</v>
      </c>
    </row>
    <row r="9" spans="1:12" ht="57.75" customHeight="1">
      <c r="A9" s="193"/>
      <c r="B9" s="193"/>
      <c r="C9" s="191"/>
      <c r="D9" s="197"/>
      <c r="E9" s="193"/>
      <c r="F9" s="183"/>
      <c r="G9" s="7" t="s">
        <v>4</v>
      </c>
      <c r="H9" s="160" t="s">
        <v>5</v>
      </c>
      <c r="J9" s="139" t="s">
        <v>72</v>
      </c>
      <c r="K9" s="183"/>
      <c r="L9" s="193"/>
    </row>
    <row r="10" spans="1:12" ht="12.75" customHeight="1">
      <c r="A10" s="194" t="s">
        <v>106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6"/>
    </row>
    <row r="11" spans="1:12" ht="12">
      <c r="A11" s="10" t="s">
        <v>74</v>
      </c>
      <c r="B11" s="10" t="s">
        <v>60</v>
      </c>
      <c r="C11" s="11">
        <v>1200000</v>
      </c>
      <c r="D11" s="11">
        <v>0</v>
      </c>
      <c r="E11" s="12">
        <v>41229</v>
      </c>
      <c r="F11" s="12">
        <v>41455</v>
      </c>
      <c r="G11" s="31">
        <v>0.67</v>
      </c>
      <c r="H11" s="11">
        <v>753389.48</v>
      </c>
      <c r="I11" s="10"/>
      <c r="J11" s="11">
        <v>446610.52</v>
      </c>
      <c r="K11" s="10"/>
      <c r="L11" s="10" t="s">
        <v>30</v>
      </c>
    </row>
    <row r="12" spans="1:12" ht="12">
      <c r="A12" s="10" t="s">
        <v>75</v>
      </c>
      <c r="B12" s="10"/>
      <c r="C12" s="11"/>
      <c r="D12" s="11"/>
      <c r="E12" s="12"/>
      <c r="F12" s="12"/>
      <c r="G12" s="31"/>
      <c r="H12" s="11"/>
      <c r="I12" s="10"/>
      <c r="J12" s="11"/>
      <c r="K12" s="10"/>
      <c r="L12" s="10"/>
    </row>
    <row r="13" spans="1:12" ht="12">
      <c r="A13" s="10" t="s">
        <v>76</v>
      </c>
      <c r="B13" s="10"/>
      <c r="C13" s="11"/>
      <c r="D13" s="11"/>
      <c r="E13" s="15"/>
      <c r="F13" s="15"/>
      <c r="G13" s="31"/>
      <c r="H13" s="11"/>
      <c r="I13" s="10"/>
      <c r="J13" s="11"/>
      <c r="K13" s="10"/>
      <c r="L13" s="10"/>
    </row>
    <row r="14" spans="1:12" ht="12">
      <c r="A14" s="10" t="s">
        <v>77</v>
      </c>
      <c r="B14" s="10" t="s">
        <v>78</v>
      </c>
      <c r="C14" s="11">
        <v>250000</v>
      </c>
      <c r="D14" s="11">
        <v>0</v>
      </c>
      <c r="E14" s="15">
        <v>40976</v>
      </c>
      <c r="F14" s="15">
        <v>41105</v>
      </c>
      <c r="G14" s="31">
        <v>1</v>
      </c>
      <c r="H14" s="11">
        <v>228323.71</v>
      </c>
      <c r="I14" s="10"/>
      <c r="J14" s="11">
        <v>21676.29</v>
      </c>
      <c r="K14" s="10"/>
      <c r="L14" s="10" t="s">
        <v>16</v>
      </c>
    </row>
    <row r="15" spans="1:12" ht="24">
      <c r="A15" s="135" t="s">
        <v>97</v>
      </c>
      <c r="B15" s="10" t="s">
        <v>11</v>
      </c>
      <c r="C15" s="11">
        <v>1395500</v>
      </c>
      <c r="D15" s="11">
        <v>1395500</v>
      </c>
      <c r="E15" s="15">
        <v>42951</v>
      </c>
      <c r="F15" s="15">
        <v>43071</v>
      </c>
      <c r="G15" s="31">
        <v>1</v>
      </c>
      <c r="H15" s="11">
        <f>1072609.45+322890.55</f>
        <v>1395500</v>
      </c>
      <c r="I15" s="10"/>
      <c r="J15" s="11">
        <f>C15-H15</f>
        <v>0</v>
      </c>
      <c r="K15" s="10"/>
      <c r="L15" s="10" t="s">
        <v>16</v>
      </c>
    </row>
    <row r="16" spans="1:12" ht="24">
      <c r="A16" s="72" t="s">
        <v>107</v>
      </c>
      <c r="B16" s="55" t="s">
        <v>60</v>
      </c>
      <c r="C16" s="161">
        <v>500000</v>
      </c>
      <c r="D16" s="161">
        <v>0</v>
      </c>
      <c r="E16" s="168">
        <v>43429</v>
      </c>
      <c r="F16" s="168">
        <v>43459</v>
      </c>
      <c r="G16" s="58">
        <v>1</v>
      </c>
      <c r="H16" s="161">
        <v>495200</v>
      </c>
      <c r="I16" s="158"/>
      <c r="J16" s="161">
        <f>C16-H16</f>
        <v>4800</v>
      </c>
      <c r="K16" s="10"/>
      <c r="L16" s="176" t="s">
        <v>16</v>
      </c>
    </row>
    <row r="17" spans="1:12" ht="24">
      <c r="A17" s="72" t="s">
        <v>109</v>
      </c>
      <c r="B17" s="55" t="s">
        <v>108</v>
      </c>
      <c r="C17" s="161">
        <v>1000000</v>
      </c>
      <c r="D17" s="161">
        <v>990168.7</v>
      </c>
      <c r="E17" s="168">
        <v>43433</v>
      </c>
      <c r="F17" s="168">
        <v>43612</v>
      </c>
      <c r="G17" s="58">
        <v>1</v>
      </c>
      <c r="H17" s="161">
        <v>860534.01</v>
      </c>
      <c r="I17" s="178"/>
      <c r="J17" s="161">
        <f>C17-H17</f>
        <v>139465.99</v>
      </c>
      <c r="K17" s="10"/>
      <c r="L17" s="176" t="s">
        <v>16</v>
      </c>
    </row>
    <row r="18" spans="1:12" ht="24">
      <c r="A18" s="72" t="s">
        <v>111</v>
      </c>
      <c r="B18" s="55" t="s">
        <v>108</v>
      </c>
      <c r="C18" s="161">
        <v>900000</v>
      </c>
      <c r="D18" s="161">
        <v>892517.12</v>
      </c>
      <c r="E18" s="168">
        <v>43564</v>
      </c>
      <c r="F18" s="168">
        <v>43654</v>
      </c>
      <c r="G18" s="58">
        <v>1</v>
      </c>
      <c r="H18" s="161">
        <v>840334</v>
      </c>
      <c r="I18" s="178"/>
      <c r="J18" s="161">
        <f>C18-H18</f>
        <v>59666</v>
      </c>
      <c r="K18" s="10"/>
      <c r="L18" s="176" t="s">
        <v>16</v>
      </c>
    </row>
    <row r="19" spans="1:12" ht="24">
      <c r="A19" s="72" t="s">
        <v>112</v>
      </c>
      <c r="B19" s="55" t="s">
        <v>27</v>
      </c>
      <c r="C19" s="161">
        <v>403000</v>
      </c>
      <c r="D19" s="161"/>
      <c r="E19" s="168">
        <v>43564</v>
      </c>
      <c r="F19" s="168">
        <v>43654</v>
      </c>
      <c r="G19" s="58">
        <v>1</v>
      </c>
      <c r="H19" s="161">
        <v>390812.2</v>
      </c>
      <c r="I19" s="158"/>
      <c r="J19" s="161">
        <f>C19-H19</f>
        <v>12187.799999999988</v>
      </c>
      <c r="K19" s="10"/>
      <c r="L19" s="176" t="s">
        <v>16</v>
      </c>
    </row>
    <row r="20" spans="1:12" s="5" customFormat="1" ht="12">
      <c r="A20" s="169" t="s">
        <v>101</v>
      </c>
      <c r="B20" s="170"/>
      <c r="C20" s="171">
        <f>SUM(C11:C19)</f>
        <v>5648500</v>
      </c>
      <c r="D20" s="171">
        <f>SUM(D11:D19)</f>
        <v>3278185.8200000003</v>
      </c>
      <c r="E20" s="172"/>
      <c r="F20" s="172"/>
      <c r="G20" s="173"/>
      <c r="H20" s="171">
        <f>SUM(H11:H19)</f>
        <v>4964093.4</v>
      </c>
      <c r="I20" s="171">
        <f>SUM(I11:I19)</f>
        <v>0</v>
      </c>
      <c r="J20" s="171">
        <f>SUM(J11:J19)</f>
        <v>684406.6000000001</v>
      </c>
      <c r="K20" s="35"/>
      <c r="L20" s="174"/>
    </row>
    <row r="21" spans="1:12" ht="12">
      <c r="A21" s="35"/>
      <c r="B21" s="10"/>
      <c r="C21" s="11"/>
      <c r="D21" s="11"/>
      <c r="E21" s="15"/>
      <c r="F21" s="16"/>
      <c r="G21" s="14"/>
      <c r="H21" s="11"/>
      <c r="I21" s="10"/>
      <c r="J21" s="11"/>
      <c r="K21" s="10"/>
      <c r="L21" s="10"/>
    </row>
    <row r="22" spans="1:12" ht="18.75" customHeight="1">
      <c r="A22" s="194" t="s">
        <v>12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6"/>
    </row>
    <row r="23" spans="1:12" s="26" customFormat="1" ht="12">
      <c r="A23" s="17" t="s">
        <v>13</v>
      </c>
      <c r="B23" s="18"/>
      <c r="C23" s="19"/>
      <c r="D23" s="20"/>
      <c r="E23" s="140"/>
      <c r="F23" s="22"/>
      <c r="G23" s="23"/>
      <c r="H23" s="20"/>
      <c r="I23" s="24">
        <f>D23-H23</f>
        <v>0</v>
      </c>
      <c r="J23" s="25"/>
      <c r="K23" s="6"/>
      <c r="L23" s="6"/>
    </row>
    <row r="24" spans="1:14" ht="12">
      <c r="A24" s="27" t="s">
        <v>14</v>
      </c>
      <c r="B24" s="28" t="s">
        <v>15</v>
      </c>
      <c r="C24" s="29">
        <v>70000</v>
      </c>
      <c r="D24" s="11">
        <v>68498.76</v>
      </c>
      <c r="E24" s="30">
        <v>42134</v>
      </c>
      <c r="F24" s="184">
        <v>42287</v>
      </c>
      <c r="G24" s="31">
        <v>1</v>
      </c>
      <c r="H24" s="11">
        <v>51514.3</v>
      </c>
      <c r="I24" s="24">
        <f>D24-H24</f>
        <v>16984.459999999992</v>
      </c>
      <c r="J24" s="11">
        <f>C24-H24</f>
        <v>18485.699999999997</v>
      </c>
      <c r="K24" s="10"/>
      <c r="L24" s="10" t="s">
        <v>16</v>
      </c>
      <c r="N24" s="84">
        <f>D24-H24</f>
        <v>16984.459999999992</v>
      </c>
    </row>
    <row r="25" spans="1:14" ht="12">
      <c r="A25" s="27" t="s">
        <v>14</v>
      </c>
      <c r="B25" s="28" t="s">
        <v>17</v>
      </c>
      <c r="C25" s="29">
        <v>119999.99</v>
      </c>
      <c r="D25" s="11">
        <v>118499.98</v>
      </c>
      <c r="E25" s="30">
        <v>42134</v>
      </c>
      <c r="F25" s="185"/>
      <c r="G25" s="31">
        <v>1</v>
      </c>
      <c r="H25" s="11">
        <v>118499.98</v>
      </c>
      <c r="I25" s="24"/>
      <c r="J25" s="11">
        <f aca="true" t="shared" si="0" ref="J25:J90">C25-H25</f>
        <v>1500.0100000000093</v>
      </c>
      <c r="K25" s="10"/>
      <c r="L25" s="10" t="s">
        <v>16</v>
      </c>
      <c r="N25" s="84">
        <f aca="true" t="shared" si="1" ref="N25:N88">D25-H25</f>
        <v>0</v>
      </c>
    </row>
    <row r="26" spans="1:14" ht="12">
      <c r="A26" s="27" t="s">
        <v>14</v>
      </c>
      <c r="B26" s="28" t="s">
        <v>18</v>
      </c>
      <c r="C26" s="29">
        <v>240000</v>
      </c>
      <c r="D26" s="11">
        <v>237999.96</v>
      </c>
      <c r="E26" s="30">
        <v>42134</v>
      </c>
      <c r="F26" s="185"/>
      <c r="G26" s="31">
        <v>1</v>
      </c>
      <c r="H26" s="11">
        <v>237999.95</v>
      </c>
      <c r="I26" s="24"/>
      <c r="J26" s="11">
        <f t="shared" si="0"/>
        <v>2000.0499999999884</v>
      </c>
      <c r="K26" s="10"/>
      <c r="L26" s="10" t="s">
        <v>16</v>
      </c>
      <c r="N26" s="84">
        <f t="shared" si="1"/>
        <v>0.009999999980209395</v>
      </c>
    </row>
    <row r="27" spans="1:14" ht="12">
      <c r="A27" s="27" t="s">
        <v>14</v>
      </c>
      <c r="B27" s="28" t="s">
        <v>19</v>
      </c>
      <c r="C27" s="29">
        <v>260000</v>
      </c>
      <c r="D27" s="11">
        <v>257999</v>
      </c>
      <c r="E27" s="30">
        <v>42134</v>
      </c>
      <c r="F27" s="185"/>
      <c r="G27" s="31">
        <v>1</v>
      </c>
      <c r="H27" s="11">
        <v>227279.93</v>
      </c>
      <c r="I27" s="24"/>
      <c r="J27" s="11">
        <f t="shared" si="0"/>
        <v>32720.070000000007</v>
      </c>
      <c r="K27" s="10"/>
      <c r="L27" s="10" t="s">
        <v>16</v>
      </c>
      <c r="N27" s="84">
        <f t="shared" si="1"/>
        <v>30719.070000000007</v>
      </c>
    </row>
    <row r="28" spans="1:14" ht="12">
      <c r="A28" s="27" t="s">
        <v>14</v>
      </c>
      <c r="B28" s="28" t="s">
        <v>20</v>
      </c>
      <c r="C28" s="29">
        <v>240000</v>
      </c>
      <c r="D28" s="11">
        <v>237999.82</v>
      </c>
      <c r="E28" s="30">
        <v>42134</v>
      </c>
      <c r="F28" s="186"/>
      <c r="G28" s="31">
        <v>1</v>
      </c>
      <c r="H28" s="11">
        <v>206413.05</v>
      </c>
      <c r="I28" s="24"/>
      <c r="J28" s="11">
        <f t="shared" si="0"/>
        <v>33586.95000000001</v>
      </c>
      <c r="K28" s="10"/>
      <c r="L28" s="10" t="s">
        <v>16</v>
      </c>
      <c r="N28" s="84">
        <f t="shared" si="1"/>
        <v>31586.77000000002</v>
      </c>
    </row>
    <row r="29" spans="1:14" ht="12">
      <c r="A29" s="32" t="s">
        <v>21</v>
      </c>
      <c r="B29" s="28"/>
      <c r="C29" s="33">
        <f>SUM(C24:C28)</f>
        <v>929999.99</v>
      </c>
      <c r="D29" s="33">
        <f>SUM(D24:D28)</f>
        <v>920997.52</v>
      </c>
      <c r="E29" s="34"/>
      <c r="F29" s="35"/>
      <c r="G29" s="36"/>
      <c r="H29" s="33">
        <f>SUM(H24:H28)</f>
        <v>841707.21</v>
      </c>
      <c r="I29" s="24"/>
      <c r="J29" s="33">
        <f t="shared" si="0"/>
        <v>88292.78000000003</v>
      </c>
      <c r="K29" s="10"/>
      <c r="L29" s="10"/>
      <c r="N29" s="84"/>
    </row>
    <row r="30" spans="1:14" ht="12">
      <c r="A30" s="37" t="s">
        <v>22</v>
      </c>
      <c r="B30" s="28"/>
      <c r="C30" s="29"/>
      <c r="D30" s="11"/>
      <c r="E30" s="30"/>
      <c r="F30" s="10"/>
      <c r="G30" s="31"/>
      <c r="H30" s="11"/>
      <c r="I30" s="24"/>
      <c r="J30" s="11"/>
      <c r="K30" s="10"/>
      <c r="L30" s="10"/>
      <c r="N30" s="84"/>
    </row>
    <row r="31" spans="1:14" ht="12">
      <c r="A31" s="27" t="s">
        <v>14</v>
      </c>
      <c r="B31" s="28" t="s">
        <v>23</v>
      </c>
      <c r="C31" s="29">
        <v>240000</v>
      </c>
      <c r="D31" s="11">
        <v>239530</v>
      </c>
      <c r="E31" s="30">
        <v>42133</v>
      </c>
      <c r="F31" s="184">
        <v>42287</v>
      </c>
      <c r="G31" s="31">
        <v>1</v>
      </c>
      <c r="H31" s="11">
        <f>175135.26+64394.74</f>
        <v>239530</v>
      </c>
      <c r="I31" s="24"/>
      <c r="J31" s="11">
        <f t="shared" si="0"/>
        <v>470</v>
      </c>
      <c r="K31" s="10"/>
      <c r="L31" s="10" t="s">
        <v>16</v>
      </c>
      <c r="N31" s="84">
        <f t="shared" si="1"/>
        <v>0</v>
      </c>
    </row>
    <row r="32" spans="1:14" ht="12">
      <c r="A32" s="27" t="s">
        <v>14</v>
      </c>
      <c r="B32" s="28" t="s">
        <v>24</v>
      </c>
      <c r="C32" s="29">
        <v>70000</v>
      </c>
      <c r="D32" s="11">
        <v>69202.48</v>
      </c>
      <c r="E32" s="30">
        <v>42133</v>
      </c>
      <c r="F32" s="185"/>
      <c r="G32" s="31">
        <v>1</v>
      </c>
      <c r="H32" s="11">
        <f>62783.19+6419.29</f>
        <v>69202.48</v>
      </c>
      <c r="I32" s="24"/>
      <c r="J32" s="11">
        <f t="shared" si="0"/>
        <v>797.5200000000041</v>
      </c>
      <c r="K32" s="10"/>
      <c r="L32" s="10" t="s">
        <v>16</v>
      </c>
      <c r="N32" s="84">
        <f t="shared" si="1"/>
        <v>0</v>
      </c>
    </row>
    <row r="33" spans="1:14" ht="12">
      <c r="A33" s="27" t="s">
        <v>26</v>
      </c>
      <c r="B33" s="28" t="s">
        <v>25</v>
      </c>
      <c r="C33" s="29">
        <v>100000</v>
      </c>
      <c r="D33" s="11">
        <v>99125</v>
      </c>
      <c r="E33" s="30">
        <v>42133</v>
      </c>
      <c r="F33" s="185"/>
      <c r="G33" s="31">
        <v>1</v>
      </c>
      <c r="H33" s="11">
        <f>90424.26+8700.74</f>
        <v>99125</v>
      </c>
      <c r="I33" s="24"/>
      <c r="J33" s="11">
        <f t="shared" si="0"/>
        <v>875</v>
      </c>
      <c r="K33" s="10"/>
      <c r="L33" s="10" t="s">
        <v>16</v>
      </c>
      <c r="N33" s="84">
        <f t="shared" si="1"/>
        <v>0</v>
      </c>
    </row>
    <row r="34" spans="1:14" ht="12">
      <c r="A34" s="27" t="s">
        <v>26</v>
      </c>
      <c r="B34" s="28" t="s">
        <v>17</v>
      </c>
      <c r="C34" s="29">
        <v>120000</v>
      </c>
      <c r="D34" s="11">
        <v>119578.2</v>
      </c>
      <c r="E34" s="30">
        <v>42133</v>
      </c>
      <c r="F34" s="185"/>
      <c r="G34" s="31">
        <v>1</v>
      </c>
      <c r="H34" s="11">
        <f>103217.52+16360.68</f>
        <v>119578.20000000001</v>
      </c>
      <c r="I34" s="24"/>
      <c r="J34" s="11">
        <f t="shared" si="0"/>
        <v>421.79999999998836</v>
      </c>
      <c r="K34" s="10"/>
      <c r="L34" s="10" t="s">
        <v>16</v>
      </c>
      <c r="N34" s="84">
        <f t="shared" si="1"/>
        <v>0</v>
      </c>
    </row>
    <row r="35" spans="1:14" ht="12">
      <c r="A35" s="27" t="s">
        <v>26</v>
      </c>
      <c r="B35" s="28" t="s">
        <v>27</v>
      </c>
      <c r="C35" s="29">
        <v>240000</v>
      </c>
      <c r="D35" s="11">
        <v>238796.55</v>
      </c>
      <c r="E35" s="30">
        <v>42133</v>
      </c>
      <c r="F35" s="186"/>
      <c r="G35" s="31">
        <v>1</v>
      </c>
      <c r="H35" s="11">
        <f>217936.06+20860.49</f>
        <v>238796.55</v>
      </c>
      <c r="I35" s="24"/>
      <c r="J35" s="11">
        <f t="shared" si="0"/>
        <v>1203.4500000000116</v>
      </c>
      <c r="K35" s="10"/>
      <c r="L35" s="10" t="s">
        <v>16</v>
      </c>
      <c r="N35" s="84">
        <f t="shared" si="1"/>
        <v>0</v>
      </c>
    </row>
    <row r="36" spans="1:14" ht="12">
      <c r="A36" s="32" t="s">
        <v>21</v>
      </c>
      <c r="B36" s="28"/>
      <c r="C36" s="33">
        <f>SUM(C31:C35)</f>
        <v>770000</v>
      </c>
      <c r="D36" s="33">
        <f>SUM(D31:D35)</f>
        <v>766232.23</v>
      </c>
      <c r="E36" s="34"/>
      <c r="F36" s="35"/>
      <c r="G36" s="36"/>
      <c r="H36" s="33">
        <f>SUM(H31:H35)</f>
        <v>766232.23</v>
      </c>
      <c r="I36" s="24"/>
      <c r="J36" s="33">
        <f t="shared" si="0"/>
        <v>3767.7700000000186</v>
      </c>
      <c r="K36" s="10"/>
      <c r="L36" s="10"/>
      <c r="N36" s="84"/>
    </row>
    <row r="37" spans="1:14" ht="12">
      <c r="A37" s="37" t="s">
        <v>28</v>
      </c>
      <c r="B37" s="28"/>
      <c r="C37" s="29"/>
      <c r="D37" s="11"/>
      <c r="E37" s="30"/>
      <c r="F37" s="10"/>
      <c r="G37" s="31"/>
      <c r="H37" s="11"/>
      <c r="I37" s="24"/>
      <c r="J37" s="11">
        <f t="shared" si="0"/>
        <v>0</v>
      </c>
      <c r="K37" s="10"/>
      <c r="L37" s="10"/>
      <c r="N37" s="84"/>
    </row>
    <row r="38" spans="1:14" ht="12">
      <c r="A38" s="27" t="s">
        <v>14</v>
      </c>
      <c r="B38" s="28" t="s">
        <v>29</v>
      </c>
      <c r="C38" s="29">
        <v>200000</v>
      </c>
      <c r="D38" s="11">
        <v>199702</v>
      </c>
      <c r="E38" s="30">
        <v>42146</v>
      </c>
      <c r="F38" s="184">
        <v>42299</v>
      </c>
      <c r="G38" s="31">
        <v>1</v>
      </c>
      <c r="H38" s="11">
        <v>199702</v>
      </c>
      <c r="I38" s="24"/>
      <c r="J38" s="11">
        <f t="shared" si="0"/>
        <v>298</v>
      </c>
      <c r="K38" s="10"/>
      <c r="L38" s="10" t="s">
        <v>16</v>
      </c>
      <c r="N38" s="84">
        <f t="shared" si="1"/>
        <v>0</v>
      </c>
    </row>
    <row r="39" spans="1:14" ht="12">
      <c r="A39" s="27" t="s">
        <v>14</v>
      </c>
      <c r="B39" s="28" t="s">
        <v>31</v>
      </c>
      <c r="C39" s="29">
        <v>100000</v>
      </c>
      <c r="D39" s="11">
        <v>99932.84</v>
      </c>
      <c r="E39" s="30">
        <v>42146</v>
      </c>
      <c r="F39" s="185"/>
      <c r="G39" s="31">
        <v>1</v>
      </c>
      <c r="H39" s="11">
        <v>93436.84</v>
      </c>
      <c r="I39" s="24"/>
      <c r="J39" s="11">
        <f t="shared" si="0"/>
        <v>6563.1600000000035</v>
      </c>
      <c r="K39" s="10"/>
      <c r="L39" s="10" t="s">
        <v>16</v>
      </c>
      <c r="N39" s="84">
        <f t="shared" si="1"/>
        <v>6496</v>
      </c>
    </row>
    <row r="40" spans="1:14" ht="12">
      <c r="A40" s="27" t="s">
        <v>14</v>
      </c>
      <c r="B40" s="28" t="s">
        <v>32</v>
      </c>
      <c r="C40" s="29">
        <v>120000</v>
      </c>
      <c r="D40" s="11">
        <v>119918.95</v>
      </c>
      <c r="E40" s="30">
        <v>42146</v>
      </c>
      <c r="F40" s="185"/>
      <c r="G40" s="31">
        <v>1</v>
      </c>
      <c r="H40" s="11">
        <v>118304.25</v>
      </c>
      <c r="I40" s="24"/>
      <c r="J40" s="11">
        <f t="shared" si="0"/>
        <v>1695.75</v>
      </c>
      <c r="K40" s="10"/>
      <c r="L40" s="10" t="s">
        <v>16</v>
      </c>
      <c r="N40" s="84">
        <f t="shared" si="1"/>
        <v>1614.699999999997</v>
      </c>
    </row>
    <row r="41" spans="1:14" ht="12">
      <c r="A41" s="27" t="s">
        <v>14</v>
      </c>
      <c r="B41" s="28" t="s">
        <v>33</v>
      </c>
      <c r="C41" s="29">
        <v>130000</v>
      </c>
      <c r="D41" s="11">
        <v>129871.28</v>
      </c>
      <c r="E41" s="30">
        <v>42146</v>
      </c>
      <c r="F41" s="185"/>
      <c r="G41" s="31">
        <v>1</v>
      </c>
      <c r="H41" s="11">
        <f>96604+17232.28</f>
        <v>113836.28</v>
      </c>
      <c r="I41" s="24"/>
      <c r="J41" s="11">
        <f t="shared" si="0"/>
        <v>16163.720000000001</v>
      </c>
      <c r="K41" s="10"/>
      <c r="L41" s="10" t="s">
        <v>16</v>
      </c>
      <c r="N41" s="84">
        <f t="shared" si="1"/>
        <v>16035</v>
      </c>
    </row>
    <row r="42" spans="1:14" ht="12">
      <c r="A42" s="27" t="s">
        <v>14</v>
      </c>
      <c r="B42" s="28" t="s">
        <v>34</v>
      </c>
      <c r="C42" s="29">
        <v>240000</v>
      </c>
      <c r="D42" s="11">
        <v>239857</v>
      </c>
      <c r="E42" s="30">
        <v>42146</v>
      </c>
      <c r="F42" s="186"/>
      <c r="G42" s="31">
        <v>1</v>
      </c>
      <c r="H42" s="11">
        <f>86408.78+153448.22</f>
        <v>239857</v>
      </c>
      <c r="I42" s="24"/>
      <c r="J42" s="11">
        <f t="shared" si="0"/>
        <v>143</v>
      </c>
      <c r="K42" s="10"/>
      <c r="L42" s="10" t="s">
        <v>16</v>
      </c>
      <c r="N42" s="84">
        <f t="shared" si="1"/>
        <v>0</v>
      </c>
    </row>
    <row r="43" spans="1:14" ht="12">
      <c r="A43" s="32" t="s">
        <v>21</v>
      </c>
      <c r="B43" s="28"/>
      <c r="C43" s="33">
        <f>SUM(C38:C42)</f>
        <v>790000</v>
      </c>
      <c r="D43" s="33">
        <f>SUM(D38:D42)</f>
        <v>789282.07</v>
      </c>
      <c r="E43" s="34"/>
      <c r="F43" s="35"/>
      <c r="G43" s="36"/>
      <c r="H43" s="33">
        <f>SUM(H38:H42)</f>
        <v>765136.37</v>
      </c>
      <c r="I43" s="24"/>
      <c r="J43" s="33">
        <f t="shared" si="0"/>
        <v>24863.630000000005</v>
      </c>
      <c r="K43" s="10"/>
      <c r="L43" s="10"/>
      <c r="N43" s="84"/>
    </row>
    <row r="44" spans="1:14" ht="12">
      <c r="A44" s="37" t="s">
        <v>35</v>
      </c>
      <c r="B44" s="28"/>
      <c r="C44" s="29"/>
      <c r="D44" s="11"/>
      <c r="E44" s="30"/>
      <c r="F44" s="10"/>
      <c r="G44" s="31"/>
      <c r="H44" s="11"/>
      <c r="I44" s="24"/>
      <c r="J44" s="11">
        <f t="shared" si="0"/>
        <v>0</v>
      </c>
      <c r="K44" s="10"/>
      <c r="L44" s="10"/>
      <c r="N44" s="84"/>
    </row>
    <row r="45" spans="1:14" ht="12">
      <c r="A45" s="27" t="s">
        <v>14</v>
      </c>
      <c r="B45" s="28" t="s">
        <v>36</v>
      </c>
      <c r="C45" s="29">
        <v>240000</v>
      </c>
      <c r="D45" s="11">
        <v>239887.34</v>
      </c>
      <c r="E45" s="30">
        <v>42146</v>
      </c>
      <c r="F45" s="184">
        <v>42269</v>
      </c>
      <c r="G45" s="31">
        <v>1</v>
      </c>
      <c r="H45" s="11">
        <v>239887.34</v>
      </c>
      <c r="I45" s="24"/>
      <c r="J45" s="11">
        <f t="shared" si="0"/>
        <v>112.66000000000349</v>
      </c>
      <c r="K45" s="10"/>
      <c r="L45" s="10" t="s">
        <v>16</v>
      </c>
      <c r="N45" s="84">
        <f t="shared" si="1"/>
        <v>0</v>
      </c>
    </row>
    <row r="46" spans="1:14" ht="12">
      <c r="A46" s="27" t="s">
        <v>14</v>
      </c>
      <c r="B46" s="28" t="s">
        <v>37</v>
      </c>
      <c r="C46" s="29">
        <v>260000</v>
      </c>
      <c r="D46" s="11">
        <v>259963.92</v>
      </c>
      <c r="E46" s="30">
        <v>42146</v>
      </c>
      <c r="F46" s="187"/>
      <c r="G46" s="31">
        <v>1</v>
      </c>
      <c r="H46" s="11">
        <v>259963.92</v>
      </c>
      <c r="I46" s="24"/>
      <c r="J46" s="11">
        <f t="shared" si="0"/>
        <v>36.079999999987194</v>
      </c>
      <c r="K46" s="10"/>
      <c r="L46" s="10" t="s">
        <v>16</v>
      </c>
      <c r="N46" s="84">
        <f t="shared" si="1"/>
        <v>0</v>
      </c>
    </row>
    <row r="47" spans="1:14" ht="12">
      <c r="A47" s="27" t="s">
        <v>14</v>
      </c>
      <c r="B47" s="28" t="s">
        <v>38</v>
      </c>
      <c r="C47" s="29">
        <v>130000</v>
      </c>
      <c r="D47" s="11">
        <v>129931.68</v>
      </c>
      <c r="E47" s="30">
        <v>42146</v>
      </c>
      <c r="F47" s="187"/>
      <c r="G47" s="31">
        <v>1</v>
      </c>
      <c r="H47" s="11">
        <v>129931.68</v>
      </c>
      <c r="I47" s="24">
        <f aca="true" t="shared" si="2" ref="I47:I69">D47-H47</f>
        <v>0</v>
      </c>
      <c r="J47" s="11">
        <f t="shared" si="0"/>
        <v>68.32000000000698</v>
      </c>
      <c r="K47" s="10"/>
      <c r="L47" s="10" t="s">
        <v>16</v>
      </c>
      <c r="N47" s="84">
        <f t="shared" si="1"/>
        <v>0</v>
      </c>
    </row>
    <row r="48" spans="1:14" ht="12">
      <c r="A48" s="27" t="s">
        <v>14</v>
      </c>
      <c r="B48" s="28" t="s">
        <v>39</v>
      </c>
      <c r="C48" s="29">
        <v>120000</v>
      </c>
      <c r="D48" s="11">
        <v>119883.16</v>
      </c>
      <c r="E48" s="30">
        <v>42146</v>
      </c>
      <c r="F48" s="188"/>
      <c r="G48" s="31">
        <v>1</v>
      </c>
      <c r="H48" s="11">
        <v>119883.16</v>
      </c>
      <c r="I48" s="24">
        <f t="shared" si="2"/>
        <v>0</v>
      </c>
      <c r="J48" s="11">
        <f t="shared" si="0"/>
        <v>116.83999999999651</v>
      </c>
      <c r="K48" s="10"/>
      <c r="L48" s="10" t="s">
        <v>16</v>
      </c>
      <c r="N48" s="84">
        <f t="shared" si="1"/>
        <v>0</v>
      </c>
    </row>
    <row r="49" spans="1:14" ht="12">
      <c r="A49" s="27"/>
      <c r="B49" s="28"/>
      <c r="C49" s="33">
        <f>SUM(C45:C48)</f>
        <v>750000</v>
      </c>
      <c r="D49" s="33">
        <f>SUM(D45:D48)</f>
        <v>749666.1</v>
      </c>
      <c r="E49" s="34"/>
      <c r="F49" s="38"/>
      <c r="G49" s="36"/>
      <c r="H49" s="33">
        <f>SUM(H45:H48)</f>
        <v>749666.1</v>
      </c>
      <c r="I49" s="24">
        <f t="shared" si="2"/>
        <v>0</v>
      </c>
      <c r="J49" s="33">
        <f t="shared" si="0"/>
        <v>333.9000000000233</v>
      </c>
      <c r="K49" s="10"/>
      <c r="L49" s="10"/>
      <c r="N49" s="84"/>
    </row>
    <row r="50" spans="1:14" ht="12">
      <c r="A50" s="37" t="s">
        <v>40</v>
      </c>
      <c r="B50" s="28"/>
      <c r="C50" s="29"/>
      <c r="D50" s="11"/>
      <c r="E50" s="30"/>
      <c r="F50" s="10"/>
      <c r="G50" s="31"/>
      <c r="H50" s="11"/>
      <c r="I50" s="24">
        <f t="shared" si="2"/>
        <v>0</v>
      </c>
      <c r="J50" s="11">
        <f t="shared" si="0"/>
        <v>0</v>
      </c>
      <c r="K50" s="10"/>
      <c r="L50" s="10"/>
      <c r="N50" s="84"/>
    </row>
    <row r="51" spans="1:14" ht="12">
      <c r="A51" s="39" t="s">
        <v>26</v>
      </c>
      <c r="B51" s="39" t="s">
        <v>33</v>
      </c>
      <c r="C51" s="40">
        <v>184425.28</v>
      </c>
      <c r="D51" s="25">
        <v>184386.02</v>
      </c>
      <c r="E51" s="30">
        <v>42238</v>
      </c>
      <c r="F51" s="184">
        <v>42422</v>
      </c>
      <c r="G51" s="31">
        <v>1</v>
      </c>
      <c r="H51" s="11">
        <v>184386.02</v>
      </c>
      <c r="I51" s="24">
        <f t="shared" si="2"/>
        <v>0</v>
      </c>
      <c r="J51" s="11">
        <f t="shared" si="0"/>
        <v>39.26000000000931</v>
      </c>
      <c r="K51" s="10"/>
      <c r="L51" s="10" t="s">
        <v>16</v>
      </c>
      <c r="N51" s="84">
        <f t="shared" si="1"/>
        <v>0</v>
      </c>
    </row>
    <row r="52" spans="1:14" ht="12">
      <c r="A52" s="27" t="s">
        <v>41</v>
      </c>
      <c r="B52" s="28" t="s">
        <v>11</v>
      </c>
      <c r="C52" s="29">
        <v>500000</v>
      </c>
      <c r="D52" s="11">
        <v>499784.47</v>
      </c>
      <c r="E52" s="30">
        <v>42238</v>
      </c>
      <c r="F52" s="187"/>
      <c r="G52" s="31">
        <v>1</v>
      </c>
      <c r="H52" s="11">
        <v>399091.61</v>
      </c>
      <c r="I52" s="24">
        <f t="shared" si="2"/>
        <v>100692.85999999999</v>
      </c>
      <c r="J52" s="11">
        <f t="shared" si="0"/>
        <v>100908.39000000001</v>
      </c>
      <c r="K52" s="10"/>
      <c r="L52" s="10" t="s">
        <v>16</v>
      </c>
      <c r="N52" s="84">
        <f t="shared" si="1"/>
        <v>100692.85999999999</v>
      </c>
    </row>
    <row r="53" spans="1:14" s="26" customFormat="1" ht="24">
      <c r="A53" s="39" t="s">
        <v>42</v>
      </c>
      <c r="B53" s="41" t="s">
        <v>11</v>
      </c>
      <c r="C53" s="42">
        <v>750000</v>
      </c>
      <c r="D53" s="25">
        <v>749582.57</v>
      </c>
      <c r="E53" s="30">
        <v>42238</v>
      </c>
      <c r="F53" s="187"/>
      <c r="G53" s="43">
        <v>1</v>
      </c>
      <c r="H53" s="25">
        <v>749582.57</v>
      </c>
      <c r="I53" s="24">
        <f t="shared" si="2"/>
        <v>0</v>
      </c>
      <c r="J53" s="11">
        <f t="shared" si="0"/>
        <v>417.4300000000512</v>
      </c>
      <c r="K53" s="6"/>
      <c r="L53" s="6" t="s">
        <v>16</v>
      </c>
      <c r="N53" s="84">
        <f t="shared" si="1"/>
        <v>0</v>
      </c>
    </row>
    <row r="54" spans="1:14" ht="12">
      <c r="A54" s="27" t="s">
        <v>26</v>
      </c>
      <c r="B54" s="28" t="s">
        <v>43</v>
      </c>
      <c r="C54" s="29">
        <v>200000</v>
      </c>
      <c r="D54" s="11">
        <v>199743.01</v>
      </c>
      <c r="E54" s="30">
        <v>42238</v>
      </c>
      <c r="F54" s="187"/>
      <c r="G54" s="31">
        <v>1</v>
      </c>
      <c r="H54" s="11">
        <v>199743.01</v>
      </c>
      <c r="I54" s="24">
        <f t="shared" si="2"/>
        <v>0</v>
      </c>
      <c r="J54" s="11">
        <f t="shared" si="0"/>
        <v>256.9899999999907</v>
      </c>
      <c r="K54" s="10"/>
      <c r="L54" s="10" t="s">
        <v>16</v>
      </c>
      <c r="N54" s="84">
        <f t="shared" si="1"/>
        <v>0</v>
      </c>
    </row>
    <row r="55" spans="1:14" ht="12">
      <c r="A55" s="138" t="s">
        <v>14</v>
      </c>
      <c r="B55" s="45" t="s">
        <v>43</v>
      </c>
      <c r="C55" s="46">
        <v>200000</v>
      </c>
      <c r="D55" s="47">
        <v>199765.2</v>
      </c>
      <c r="E55" s="30">
        <v>42238</v>
      </c>
      <c r="F55" s="187"/>
      <c r="G55" s="31">
        <v>1</v>
      </c>
      <c r="H55" s="47">
        <v>199765.2</v>
      </c>
      <c r="I55" s="24">
        <f t="shared" si="2"/>
        <v>0</v>
      </c>
      <c r="J55" s="11">
        <f t="shared" si="0"/>
        <v>234.79999999998836</v>
      </c>
      <c r="K55" s="10"/>
      <c r="L55" s="10" t="s">
        <v>16</v>
      </c>
      <c r="N55" s="84">
        <f t="shared" si="1"/>
        <v>0</v>
      </c>
    </row>
    <row r="56" spans="1:14" ht="12">
      <c r="A56" s="138" t="s">
        <v>14</v>
      </c>
      <c r="B56" s="48" t="s">
        <v>44</v>
      </c>
      <c r="C56" s="49">
        <v>260000</v>
      </c>
      <c r="D56" s="50">
        <v>259433.52</v>
      </c>
      <c r="E56" s="30">
        <v>42238</v>
      </c>
      <c r="F56" s="188"/>
      <c r="G56" s="31">
        <v>1</v>
      </c>
      <c r="H56" s="11">
        <v>259433.52</v>
      </c>
      <c r="I56" s="24">
        <f t="shared" si="2"/>
        <v>0</v>
      </c>
      <c r="J56" s="11">
        <f t="shared" si="0"/>
        <v>566.4800000000105</v>
      </c>
      <c r="K56" s="10"/>
      <c r="L56" s="10" t="s">
        <v>16</v>
      </c>
      <c r="N56" s="84">
        <f t="shared" si="1"/>
        <v>0</v>
      </c>
    </row>
    <row r="57" spans="1:14" ht="12">
      <c r="A57" s="32" t="s">
        <v>21</v>
      </c>
      <c r="B57" s="28"/>
      <c r="C57" s="33">
        <f>SUM(C51:C56)</f>
        <v>2094425.28</v>
      </c>
      <c r="D57" s="33">
        <f>SUM(D51:D56)</f>
        <v>2092694.79</v>
      </c>
      <c r="E57" s="51"/>
      <c r="F57" s="35"/>
      <c r="G57" s="36"/>
      <c r="H57" s="33">
        <f>SUM(H51:H56)</f>
        <v>1992001.93</v>
      </c>
      <c r="I57" s="24">
        <f t="shared" si="2"/>
        <v>100692.8600000001</v>
      </c>
      <c r="J57" s="33">
        <f t="shared" si="0"/>
        <v>102423.3500000001</v>
      </c>
      <c r="K57" s="10"/>
      <c r="L57" s="10" t="s">
        <v>16</v>
      </c>
      <c r="N57" s="84"/>
    </row>
    <row r="58" spans="1:14" ht="12">
      <c r="A58" s="37" t="s">
        <v>45</v>
      </c>
      <c r="B58" s="28"/>
      <c r="C58" s="29"/>
      <c r="D58" s="11"/>
      <c r="E58" s="12"/>
      <c r="F58" s="10"/>
      <c r="G58" s="31"/>
      <c r="H58" s="11"/>
      <c r="I58" s="24">
        <f t="shared" si="2"/>
        <v>0</v>
      </c>
      <c r="J58" s="11">
        <f t="shared" si="0"/>
        <v>0</v>
      </c>
      <c r="K58" s="10"/>
      <c r="L58" s="10"/>
      <c r="N58" s="84"/>
    </row>
    <row r="59" spans="1:14" ht="12">
      <c r="A59" s="27" t="s">
        <v>14</v>
      </c>
      <c r="B59" s="28" t="s">
        <v>46</v>
      </c>
      <c r="C59" s="29">
        <v>260000</v>
      </c>
      <c r="D59" s="11">
        <v>252889.66</v>
      </c>
      <c r="E59" s="30">
        <v>42238</v>
      </c>
      <c r="F59" s="184">
        <v>42422</v>
      </c>
      <c r="G59" s="31">
        <v>1</v>
      </c>
      <c r="H59" s="11">
        <v>252884.66</v>
      </c>
      <c r="I59" s="24">
        <f t="shared" si="2"/>
        <v>5</v>
      </c>
      <c r="J59" s="11">
        <f t="shared" si="0"/>
        <v>7115.3399999999965</v>
      </c>
      <c r="K59" s="10"/>
      <c r="L59" s="10" t="s">
        <v>16</v>
      </c>
      <c r="N59" s="84">
        <f t="shared" si="1"/>
        <v>5</v>
      </c>
    </row>
    <row r="60" spans="1:14" ht="12">
      <c r="A60" s="27" t="s">
        <v>26</v>
      </c>
      <c r="B60" s="28" t="s">
        <v>47</v>
      </c>
      <c r="C60" s="29">
        <v>130000</v>
      </c>
      <c r="D60" s="11">
        <v>127866</v>
      </c>
      <c r="E60" s="30">
        <v>42238</v>
      </c>
      <c r="F60" s="187"/>
      <c r="G60" s="31">
        <v>1</v>
      </c>
      <c r="H60" s="11">
        <v>127866</v>
      </c>
      <c r="I60" s="24">
        <f t="shared" si="2"/>
        <v>0</v>
      </c>
      <c r="J60" s="11">
        <f t="shared" si="0"/>
        <v>2134</v>
      </c>
      <c r="K60" s="10"/>
      <c r="L60" s="10" t="s">
        <v>16</v>
      </c>
      <c r="N60" s="84">
        <f t="shared" si="1"/>
        <v>0</v>
      </c>
    </row>
    <row r="61" spans="1:14" ht="12">
      <c r="A61" s="27" t="s">
        <v>14</v>
      </c>
      <c r="B61" s="28" t="s">
        <v>47</v>
      </c>
      <c r="C61" s="29">
        <v>130000</v>
      </c>
      <c r="D61" s="11">
        <v>128328.7</v>
      </c>
      <c r="E61" s="30">
        <v>42238</v>
      </c>
      <c r="F61" s="187"/>
      <c r="G61" s="31">
        <v>1</v>
      </c>
      <c r="H61" s="11">
        <f>47900+80428.7</f>
        <v>128328.7</v>
      </c>
      <c r="I61" s="24">
        <f t="shared" si="2"/>
        <v>0</v>
      </c>
      <c r="J61" s="11">
        <f t="shared" si="0"/>
        <v>1671.300000000003</v>
      </c>
      <c r="K61" s="10"/>
      <c r="L61" s="10" t="s">
        <v>16</v>
      </c>
      <c r="N61" s="84">
        <f t="shared" si="1"/>
        <v>0</v>
      </c>
    </row>
    <row r="62" spans="1:14" ht="12">
      <c r="A62" s="27" t="s">
        <v>26</v>
      </c>
      <c r="B62" s="28" t="s">
        <v>48</v>
      </c>
      <c r="C62" s="29">
        <v>100000</v>
      </c>
      <c r="D62" s="11">
        <v>99202.54</v>
      </c>
      <c r="E62" s="30">
        <v>42238</v>
      </c>
      <c r="F62" s="187"/>
      <c r="G62" s="31">
        <v>1</v>
      </c>
      <c r="H62" s="11">
        <v>99202.54</v>
      </c>
      <c r="I62" s="24">
        <f t="shared" si="2"/>
        <v>0</v>
      </c>
      <c r="J62" s="11">
        <f t="shared" si="0"/>
        <v>797.4600000000064</v>
      </c>
      <c r="K62" s="10"/>
      <c r="L62" s="10" t="s">
        <v>16</v>
      </c>
      <c r="N62" s="84">
        <f t="shared" si="1"/>
        <v>0</v>
      </c>
    </row>
    <row r="63" spans="1:14" ht="12">
      <c r="A63" s="27" t="s">
        <v>14</v>
      </c>
      <c r="B63" s="28" t="s">
        <v>48</v>
      </c>
      <c r="C63" s="29">
        <v>160000</v>
      </c>
      <c r="D63" s="11">
        <v>159438.3</v>
      </c>
      <c r="E63" s="30">
        <v>42238</v>
      </c>
      <c r="F63" s="187"/>
      <c r="G63" s="31">
        <v>1</v>
      </c>
      <c r="H63" s="11">
        <v>159438.3</v>
      </c>
      <c r="I63" s="24">
        <f t="shared" si="2"/>
        <v>0</v>
      </c>
      <c r="J63" s="11">
        <f t="shared" si="0"/>
        <v>561.7000000000116</v>
      </c>
      <c r="K63" s="10"/>
      <c r="L63" s="10" t="s">
        <v>16</v>
      </c>
      <c r="N63" s="84">
        <f t="shared" si="1"/>
        <v>0</v>
      </c>
    </row>
    <row r="64" spans="1:14" ht="12">
      <c r="A64" s="27" t="s">
        <v>14</v>
      </c>
      <c r="B64" s="28" t="s">
        <v>49</v>
      </c>
      <c r="C64" s="29">
        <v>120000</v>
      </c>
      <c r="D64" s="11">
        <v>119353.7</v>
      </c>
      <c r="E64" s="30">
        <v>42238</v>
      </c>
      <c r="F64" s="187"/>
      <c r="G64" s="31">
        <v>1</v>
      </c>
      <c r="H64" s="11">
        <f>15840+78640.7</f>
        <v>94480.7</v>
      </c>
      <c r="I64" s="24">
        <f t="shared" si="2"/>
        <v>24873</v>
      </c>
      <c r="J64" s="11">
        <f t="shared" si="0"/>
        <v>25519.300000000003</v>
      </c>
      <c r="K64" s="10"/>
      <c r="L64" s="10" t="s">
        <v>16</v>
      </c>
      <c r="N64" s="84">
        <f t="shared" si="1"/>
        <v>24873</v>
      </c>
    </row>
    <row r="65" spans="1:14" ht="12">
      <c r="A65" s="27" t="s">
        <v>26</v>
      </c>
      <c r="B65" s="28" t="s">
        <v>38</v>
      </c>
      <c r="C65" s="29">
        <v>130000</v>
      </c>
      <c r="D65" s="11">
        <v>127120</v>
      </c>
      <c r="E65" s="30">
        <v>42238</v>
      </c>
      <c r="F65" s="187"/>
      <c r="G65" s="31">
        <v>1</v>
      </c>
      <c r="H65" s="11">
        <f>95500+31620</f>
        <v>127120</v>
      </c>
      <c r="I65" s="24">
        <f t="shared" si="2"/>
        <v>0</v>
      </c>
      <c r="J65" s="11">
        <f t="shared" si="0"/>
        <v>2880</v>
      </c>
      <c r="K65" s="10"/>
      <c r="L65" s="10" t="s">
        <v>16</v>
      </c>
      <c r="N65" s="84">
        <f t="shared" si="1"/>
        <v>0</v>
      </c>
    </row>
    <row r="66" spans="1:14" s="26" customFormat="1" ht="24">
      <c r="A66" s="52" t="s">
        <v>64</v>
      </c>
      <c r="B66" s="41" t="s">
        <v>11</v>
      </c>
      <c r="C66" s="42">
        <v>100000</v>
      </c>
      <c r="D66" s="25">
        <v>98512</v>
      </c>
      <c r="E66" s="30">
        <v>42238</v>
      </c>
      <c r="F66" s="187"/>
      <c r="G66" s="43">
        <v>1</v>
      </c>
      <c r="H66" s="25">
        <f>93760+4752</f>
        <v>98512</v>
      </c>
      <c r="I66" s="24">
        <f t="shared" si="2"/>
        <v>0</v>
      </c>
      <c r="J66" s="11">
        <f t="shared" si="0"/>
        <v>1488</v>
      </c>
      <c r="K66" s="6"/>
      <c r="L66" s="6" t="s">
        <v>16</v>
      </c>
      <c r="N66" s="84">
        <f t="shared" si="1"/>
        <v>0</v>
      </c>
    </row>
    <row r="67" spans="1:14" s="56" customFormat="1" ht="24">
      <c r="A67" s="39" t="s">
        <v>50</v>
      </c>
      <c r="B67" s="41" t="s">
        <v>11</v>
      </c>
      <c r="C67" s="42">
        <v>100000</v>
      </c>
      <c r="D67" s="53">
        <v>99375.8</v>
      </c>
      <c r="E67" s="30">
        <v>42238</v>
      </c>
      <c r="F67" s="187"/>
      <c r="G67" s="43">
        <v>1</v>
      </c>
      <c r="H67" s="53">
        <f>52460.8+46915</f>
        <v>99375.8</v>
      </c>
      <c r="I67" s="54">
        <f t="shared" si="2"/>
        <v>0</v>
      </c>
      <c r="J67" s="11">
        <f t="shared" si="0"/>
        <v>624.1999999999971</v>
      </c>
      <c r="K67" s="55"/>
      <c r="L67" s="55" t="s">
        <v>16</v>
      </c>
      <c r="N67" s="84">
        <f t="shared" si="1"/>
        <v>0</v>
      </c>
    </row>
    <row r="68" spans="1:14" ht="12">
      <c r="A68" s="27" t="s">
        <v>26</v>
      </c>
      <c r="B68" s="28" t="s">
        <v>39</v>
      </c>
      <c r="C68" s="29">
        <v>120000</v>
      </c>
      <c r="D68" s="11">
        <v>119428</v>
      </c>
      <c r="E68" s="30">
        <v>42238</v>
      </c>
      <c r="F68" s="187"/>
      <c r="G68" s="31">
        <v>1</v>
      </c>
      <c r="H68" s="11">
        <v>119428</v>
      </c>
      <c r="I68" s="24">
        <f t="shared" si="2"/>
        <v>0</v>
      </c>
      <c r="J68" s="11">
        <f t="shared" si="0"/>
        <v>572</v>
      </c>
      <c r="K68" s="10"/>
      <c r="L68" s="10" t="s">
        <v>16</v>
      </c>
      <c r="N68" s="84">
        <f t="shared" si="1"/>
        <v>0</v>
      </c>
    </row>
    <row r="69" spans="1:14" ht="12">
      <c r="A69" s="27" t="s">
        <v>51</v>
      </c>
      <c r="B69" s="28" t="s">
        <v>11</v>
      </c>
      <c r="C69" s="29">
        <v>130000</v>
      </c>
      <c r="D69" s="11">
        <v>129020</v>
      </c>
      <c r="E69" s="30">
        <v>42238</v>
      </c>
      <c r="F69" s="188"/>
      <c r="G69" s="31">
        <v>1</v>
      </c>
      <c r="H69" s="11">
        <v>129020</v>
      </c>
      <c r="I69" s="24">
        <f t="shared" si="2"/>
        <v>0</v>
      </c>
      <c r="J69" s="11">
        <f t="shared" si="0"/>
        <v>980</v>
      </c>
      <c r="K69" s="10"/>
      <c r="L69" s="10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SUM(C59:C69)</f>
        <v>1480000</v>
      </c>
      <c r="D70" s="33">
        <f>SUM(D59:D69)</f>
        <v>1460534.7</v>
      </c>
      <c r="E70" s="51"/>
      <c r="F70" s="35"/>
      <c r="G70" s="36"/>
      <c r="H70" s="33">
        <f>SUM(H59:H69)</f>
        <v>1435656.7</v>
      </c>
      <c r="I70" s="24"/>
      <c r="J70" s="33">
        <f t="shared" si="0"/>
        <v>44343.30000000005</v>
      </c>
      <c r="K70" s="10"/>
      <c r="L70" s="10"/>
      <c r="N70" s="84"/>
    </row>
    <row r="71" spans="1:14" ht="12">
      <c r="A71" s="189"/>
      <c r="B71" s="189"/>
      <c r="C71" s="189"/>
      <c r="D71" s="189"/>
      <c r="E71" s="189"/>
      <c r="F71" s="189"/>
      <c r="G71" s="189"/>
      <c r="H71" s="189"/>
      <c r="I71" s="24"/>
      <c r="J71" s="11">
        <f t="shared" si="0"/>
        <v>0</v>
      </c>
      <c r="K71" s="10"/>
      <c r="L71" s="10"/>
      <c r="N71" s="84"/>
    </row>
    <row r="72" spans="1:14" s="56" customFormat="1" ht="24">
      <c r="A72" s="39" t="s">
        <v>52</v>
      </c>
      <c r="B72" s="41" t="s">
        <v>11</v>
      </c>
      <c r="C72" s="42">
        <f>8587771.6</f>
        <v>8587771.6</v>
      </c>
      <c r="D72" s="53">
        <v>8587455.51</v>
      </c>
      <c r="E72" s="57">
        <v>42146</v>
      </c>
      <c r="F72" s="30">
        <v>42325</v>
      </c>
      <c r="G72" s="58">
        <v>1</v>
      </c>
      <c r="H72" s="53">
        <v>8587455.51</v>
      </c>
      <c r="I72" s="54"/>
      <c r="J72" s="11">
        <f t="shared" si="0"/>
        <v>316.089999999851</v>
      </c>
      <c r="K72" s="55"/>
      <c r="L72" s="55" t="s">
        <v>16</v>
      </c>
      <c r="N72" s="84">
        <f t="shared" si="1"/>
        <v>0</v>
      </c>
    </row>
    <row r="73" spans="1:14" ht="24">
      <c r="A73" s="39" t="s">
        <v>53</v>
      </c>
      <c r="B73" s="41" t="s">
        <v>43</v>
      </c>
      <c r="C73" s="42">
        <v>17582986.79</v>
      </c>
      <c r="D73" s="53">
        <v>17582637.17</v>
      </c>
      <c r="E73" s="57">
        <v>42147</v>
      </c>
      <c r="F73" s="30">
        <v>42325</v>
      </c>
      <c r="G73" s="58">
        <v>1</v>
      </c>
      <c r="H73" s="53">
        <v>17582637.17</v>
      </c>
      <c r="I73" s="24"/>
      <c r="J73" s="11">
        <f t="shared" si="0"/>
        <v>349.6199999973178</v>
      </c>
      <c r="K73" s="10"/>
      <c r="L73" s="10" t="s">
        <v>16</v>
      </c>
      <c r="N73" s="84">
        <f t="shared" si="1"/>
        <v>0</v>
      </c>
    </row>
    <row r="74" spans="1:14" ht="24">
      <c r="A74" s="39" t="s">
        <v>54</v>
      </c>
      <c r="B74" s="41" t="s">
        <v>27</v>
      </c>
      <c r="C74" s="42">
        <v>4615129.55</v>
      </c>
      <c r="D74" s="53">
        <v>4607254.61</v>
      </c>
      <c r="E74" s="57">
        <v>42146</v>
      </c>
      <c r="F74" s="30">
        <v>42325</v>
      </c>
      <c r="G74" s="58">
        <v>1</v>
      </c>
      <c r="H74" s="53">
        <v>4607254.61</v>
      </c>
      <c r="I74" s="24"/>
      <c r="J74" s="11">
        <f t="shared" si="0"/>
        <v>7874.9399999994785</v>
      </c>
      <c r="K74" s="10"/>
      <c r="L74" s="10" t="s">
        <v>16</v>
      </c>
      <c r="N74" s="84">
        <f t="shared" si="1"/>
        <v>0</v>
      </c>
    </row>
    <row r="75" spans="1:14" ht="24">
      <c r="A75" s="39" t="s">
        <v>55</v>
      </c>
      <c r="B75" s="41" t="s">
        <v>11</v>
      </c>
      <c r="C75" s="42">
        <f>7229996.89+4132000</f>
        <v>11361996.89</v>
      </c>
      <c r="D75" s="53">
        <f>10319968.91+1031996.89</f>
        <v>11351965.8</v>
      </c>
      <c r="E75" s="57">
        <v>42240</v>
      </c>
      <c r="F75" s="30">
        <v>42479</v>
      </c>
      <c r="G75" s="58">
        <v>1</v>
      </c>
      <c r="H75" s="53">
        <f>6197999.99+4132000.01+658890.45+329154.75+33920.6</f>
        <v>11351965.799999999</v>
      </c>
      <c r="I75" s="24"/>
      <c r="J75" s="25">
        <f t="shared" si="0"/>
        <v>10031.090000001714</v>
      </c>
      <c r="K75" s="6"/>
      <c r="L75" s="6" t="s">
        <v>16</v>
      </c>
      <c r="N75" s="84">
        <f t="shared" si="1"/>
        <v>0</v>
      </c>
    </row>
    <row r="76" spans="1:14" ht="12">
      <c r="A76" s="32" t="s">
        <v>21</v>
      </c>
      <c r="B76" s="28"/>
      <c r="C76" s="33">
        <f>SUM(C72:C75)</f>
        <v>42147884.83</v>
      </c>
      <c r="D76" s="33">
        <f>SUM(D72:D75)</f>
        <v>42129313.09</v>
      </c>
      <c r="E76" s="51"/>
      <c r="F76" s="59"/>
      <c r="G76" s="60"/>
      <c r="H76" s="33">
        <f>SUM(H72:H75)</f>
        <v>42129313.089999996</v>
      </c>
      <c r="I76" s="24"/>
      <c r="J76" s="33">
        <f t="shared" si="0"/>
        <v>18571.740000002086</v>
      </c>
      <c r="K76" s="10"/>
      <c r="L76" s="10"/>
      <c r="N76" s="84"/>
    </row>
    <row r="77" spans="1:14" ht="12">
      <c r="A77" s="61" t="s">
        <v>56</v>
      </c>
      <c r="B77" s="28"/>
      <c r="C77" s="33">
        <f>C29+C36+C43+C49+C57+C70+C76</f>
        <v>48962310.1</v>
      </c>
      <c r="D77" s="33">
        <f>D29+D36+D43+D49+D57+D70+D76</f>
        <v>48908720.5</v>
      </c>
      <c r="E77" s="51"/>
      <c r="F77" s="59"/>
      <c r="G77" s="60"/>
      <c r="H77" s="33">
        <f>H29+H36+H43+H49+H57+H70+H76</f>
        <v>48679713.629999995</v>
      </c>
      <c r="I77" s="24"/>
      <c r="J77" s="102">
        <f t="shared" si="0"/>
        <v>282596.47000000626</v>
      </c>
      <c r="K77" s="103"/>
      <c r="L77" s="103"/>
      <c r="N77" s="84"/>
    </row>
    <row r="78" spans="1:14" s="70" customFormat="1" ht="12">
      <c r="A78" s="62"/>
      <c r="B78" s="63"/>
      <c r="C78" s="64"/>
      <c r="D78" s="65"/>
      <c r="E78" s="66"/>
      <c r="F78" s="136"/>
      <c r="G78" s="68"/>
      <c r="H78" s="65"/>
      <c r="I78" s="69"/>
      <c r="J78" s="107"/>
      <c r="K78" s="108"/>
      <c r="L78" s="108"/>
      <c r="N78" s="84"/>
    </row>
    <row r="79" spans="1:14" s="70" customFormat="1" ht="12">
      <c r="A79" s="62"/>
      <c r="B79" s="63"/>
      <c r="C79" s="64"/>
      <c r="D79" s="65"/>
      <c r="E79" s="66"/>
      <c r="F79" s="136"/>
      <c r="G79" s="68"/>
      <c r="H79" s="65"/>
      <c r="I79" s="69"/>
      <c r="J79" s="149"/>
      <c r="N79" s="84"/>
    </row>
    <row r="80" spans="1:14" s="70" customFormat="1" ht="12">
      <c r="A80" s="62"/>
      <c r="B80" s="63"/>
      <c r="C80" s="64"/>
      <c r="D80" s="65"/>
      <c r="E80" s="66"/>
      <c r="F80" s="136"/>
      <c r="G80" s="68"/>
      <c r="H80" s="65"/>
      <c r="I80" s="69"/>
      <c r="J80" s="149"/>
      <c r="N80" s="84"/>
    </row>
    <row r="81" spans="1:14" s="70" customFormat="1" ht="12">
      <c r="A81" s="62"/>
      <c r="B81" s="63"/>
      <c r="C81" s="64"/>
      <c r="D81" s="65"/>
      <c r="E81" s="66"/>
      <c r="F81" s="136"/>
      <c r="G81" s="68"/>
      <c r="H81" s="65"/>
      <c r="I81" s="69"/>
      <c r="J81" s="149"/>
      <c r="N81" s="84"/>
    </row>
    <row r="82" spans="1:14" s="70" customFormat="1" ht="12">
      <c r="A82" s="141" t="s">
        <v>90</v>
      </c>
      <c r="B82" s="142"/>
      <c r="C82" s="143"/>
      <c r="D82" s="144"/>
      <c r="E82" s="145"/>
      <c r="F82" s="146"/>
      <c r="G82" s="147"/>
      <c r="H82" s="148"/>
      <c r="I82" s="154"/>
      <c r="J82" s="155"/>
      <c r="K82" s="156"/>
      <c r="L82" s="157"/>
      <c r="N82" s="84"/>
    </row>
    <row r="83" spans="1:14" ht="12">
      <c r="A83" s="150" t="s">
        <v>57</v>
      </c>
      <c r="B83" s="45" t="s">
        <v>11</v>
      </c>
      <c r="C83" s="46">
        <v>1585444.14</v>
      </c>
      <c r="D83" s="104">
        <v>1556523.12</v>
      </c>
      <c r="E83" s="151">
        <v>41995</v>
      </c>
      <c r="F83" s="152"/>
      <c r="G83" s="153">
        <v>1</v>
      </c>
      <c r="H83" s="104">
        <v>1556523.12</v>
      </c>
      <c r="I83" s="24">
        <f>D83-H83</f>
        <v>0</v>
      </c>
      <c r="J83" s="104">
        <f t="shared" si="0"/>
        <v>28921.019999999786</v>
      </c>
      <c r="K83" s="22"/>
      <c r="L83" s="22" t="s">
        <v>16</v>
      </c>
      <c r="N83" s="84">
        <f t="shared" si="1"/>
        <v>0</v>
      </c>
    </row>
    <row r="84" spans="1:14" ht="12">
      <c r="A84" s="27" t="s">
        <v>58</v>
      </c>
      <c r="B84" s="28" t="s">
        <v>27</v>
      </c>
      <c r="C84" s="29">
        <v>190000</v>
      </c>
      <c r="D84" s="11">
        <v>190000</v>
      </c>
      <c r="E84" s="12"/>
      <c r="F84" s="10"/>
      <c r="G84" s="31">
        <v>1</v>
      </c>
      <c r="H84" s="11">
        <v>190000</v>
      </c>
      <c r="I84" s="24">
        <f>D84-H84</f>
        <v>0</v>
      </c>
      <c r="J84" s="11">
        <f t="shared" si="0"/>
        <v>0</v>
      </c>
      <c r="K84" s="10"/>
      <c r="L84" s="10" t="s">
        <v>16</v>
      </c>
      <c r="N84" s="84">
        <f t="shared" si="1"/>
        <v>0</v>
      </c>
    </row>
    <row r="85" spans="1:14" ht="12">
      <c r="A85" s="72" t="s">
        <v>58</v>
      </c>
      <c r="B85" s="28" t="s">
        <v>36</v>
      </c>
      <c r="C85" s="29">
        <v>237500</v>
      </c>
      <c r="D85" s="11">
        <v>237500</v>
      </c>
      <c r="E85" s="12"/>
      <c r="F85" s="10"/>
      <c r="G85" s="31">
        <v>1</v>
      </c>
      <c r="H85" s="11">
        <v>237500</v>
      </c>
      <c r="I85" s="24">
        <f>D85-H85</f>
        <v>0</v>
      </c>
      <c r="J85" s="11">
        <f t="shared" si="0"/>
        <v>0</v>
      </c>
      <c r="K85" s="10"/>
      <c r="L85" s="10" t="s">
        <v>16</v>
      </c>
      <c r="N85" s="84">
        <f t="shared" si="1"/>
        <v>0</v>
      </c>
    </row>
    <row r="86" spans="1:14" s="26" customFormat="1" ht="24">
      <c r="A86" s="72" t="s">
        <v>59</v>
      </c>
      <c r="B86" s="41" t="s">
        <v>60</v>
      </c>
      <c r="C86" s="42">
        <v>829659.67</v>
      </c>
      <c r="D86" s="25">
        <v>814179.6</v>
      </c>
      <c r="E86" s="57">
        <v>41997</v>
      </c>
      <c r="F86" s="6"/>
      <c r="G86" s="43">
        <v>1</v>
      </c>
      <c r="H86" s="25">
        <v>814179.6</v>
      </c>
      <c r="I86" s="24">
        <f>D86-H86</f>
        <v>0</v>
      </c>
      <c r="J86" s="11">
        <f t="shared" si="0"/>
        <v>15480.070000000065</v>
      </c>
      <c r="K86" s="6"/>
      <c r="L86" s="6" t="s">
        <v>16</v>
      </c>
      <c r="N86" s="84">
        <f t="shared" si="1"/>
        <v>0</v>
      </c>
    </row>
    <row r="87" spans="1:14" s="26" customFormat="1" ht="24">
      <c r="A87" s="39" t="s">
        <v>61</v>
      </c>
      <c r="B87" s="41" t="s">
        <v>62</v>
      </c>
      <c r="C87" s="42">
        <f>6539896.19+328709.04</f>
        <v>6868605.23</v>
      </c>
      <c r="D87" s="25">
        <f>6499277.73+328709.04</f>
        <v>6827986.7700000005</v>
      </c>
      <c r="E87" s="57">
        <v>42123</v>
      </c>
      <c r="F87" s="73">
        <v>42332</v>
      </c>
      <c r="G87" s="43">
        <v>1</v>
      </c>
      <c r="H87" s="25">
        <f>6215321.16+54678.84+557986.77</f>
        <v>6827986.77</v>
      </c>
      <c r="I87" s="24">
        <f>D87-H87</f>
        <v>0</v>
      </c>
      <c r="J87" s="11">
        <f>C87-H87</f>
        <v>40618.460000000894</v>
      </c>
      <c r="K87" s="6"/>
      <c r="L87" s="6" t="s">
        <v>16</v>
      </c>
      <c r="N87" s="84"/>
    </row>
    <row r="88" spans="1:14" s="26" customFormat="1" ht="38.25">
      <c r="A88" s="91" t="s">
        <v>83</v>
      </c>
      <c r="B88" s="41"/>
      <c r="C88" s="92">
        <f>7360000+1840000+1100000</f>
        <v>10300000</v>
      </c>
      <c r="D88" s="92">
        <v>10298810.26</v>
      </c>
      <c r="E88" s="57">
        <v>42708</v>
      </c>
      <c r="F88" s="73">
        <v>42951</v>
      </c>
      <c r="G88" s="43">
        <v>1</v>
      </c>
      <c r="H88" s="25">
        <f>3762556.49+3450055.39+1846600.59+744836.35+494764.75</f>
        <v>10298813.57</v>
      </c>
      <c r="I88" s="24"/>
      <c r="J88" s="25">
        <f>C88-H88</f>
        <v>1186.429999999702</v>
      </c>
      <c r="K88" s="6"/>
      <c r="L88" s="93" t="s">
        <v>16</v>
      </c>
      <c r="N88" s="84">
        <f t="shared" si="1"/>
        <v>-3.3100000005215406</v>
      </c>
    </row>
    <row r="89" spans="1:14" s="26" customFormat="1" ht="25.5">
      <c r="A89" s="91" t="s">
        <v>85</v>
      </c>
      <c r="B89" s="41"/>
      <c r="C89" s="92">
        <v>20000000</v>
      </c>
      <c r="D89" s="92">
        <v>19997000</v>
      </c>
      <c r="E89" s="57">
        <v>42708</v>
      </c>
      <c r="F89" s="73">
        <v>43073</v>
      </c>
      <c r="G89" s="43">
        <v>1</v>
      </c>
      <c r="H89" s="25">
        <f>4038621.73+4399786.73+4872541.2+4573020.33+1582435.95+530594.06</f>
        <v>19997000</v>
      </c>
      <c r="I89" s="24"/>
      <c r="J89" s="25">
        <f>C89-H89</f>
        <v>3000</v>
      </c>
      <c r="K89" s="6"/>
      <c r="L89" s="93" t="s">
        <v>16</v>
      </c>
      <c r="N89" s="84">
        <f>D89-H89</f>
        <v>0</v>
      </c>
    </row>
    <row r="90" spans="1:14" ht="12">
      <c r="A90" s="35" t="s">
        <v>91</v>
      </c>
      <c r="B90" s="10"/>
      <c r="C90" s="74">
        <f>SUM(C83:C89)</f>
        <v>40011209.04</v>
      </c>
      <c r="D90" s="74">
        <f>SUM(D83:D89)</f>
        <v>39921999.75</v>
      </c>
      <c r="E90" s="59"/>
      <c r="F90" s="35"/>
      <c r="G90" s="75"/>
      <c r="H90" s="74">
        <f>SUM(H83:H89)</f>
        <v>39922003.06</v>
      </c>
      <c r="J90" s="33">
        <f t="shared" si="0"/>
        <v>89205.97999999672</v>
      </c>
      <c r="K90" s="10"/>
      <c r="L90" s="10"/>
      <c r="N90" s="84"/>
    </row>
    <row r="93" spans="1:10" ht="12.75">
      <c r="A93" s="101" t="s">
        <v>87</v>
      </c>
      <c r="B93" s="94"/>
      <c r="C93" s="94"/>
      <c r="D93" s="94"/>
      <c r="E93" s="95"/>
      <c r="F93" s="94"/>
      <c r="G93" s="94"/>
      <c r="H93" s="96"/>
      <c r="I93" s="97"/>
      <c r="J93" s="94"/>
    </row>
    <row r="94" spans="1:14" ht="38.25">
      <c r="A94" s="100" t="s">
        <v>88</v>
      </c>
      <c r="B94" s="98"/>
      <c r="C94" s="99">
        <f>2300000+137900</f>
        <v>2437900</v>
      </c>
      <c r="D94" s="99">
        <v>2437900</v>
      </c>
      <c r="E94" s="177">
        <v>42770</v>
      </c>
      <c r="F94" s="177">
        <v>42867</v>
      </c>
      <c r="G94" s="43">
        <v>1</v>
      </c>
      <c r="H94" s="116">
        <v>2300000</v>
      </c>
      <c r="I94" s="99"/>
      <c r="J94" s="25">
        <f>C94-H94</f>
        <v>137900</v>
      </c>
      <c r="K94" s="10"/>
      <c r="L94" s="100" t="s">
        <v>16</v>
      </c>
      <c r="N94" s="24">
        <f>D94-H94</f>
        <v>137900</v>
      </c>
    </row>
    <row r="95" spans="1:14" s="159" customFormat="1" ht="45" customHeight="1">
      <c r="A95" s="100" t="s">
        <v>99</v>
      </c>
      <c r="B95" s="100" t="s">
        <v>102</v>
      </c>
      <c r="C95" s="99">
        <v>4128965</v>
      </c>
      <c r="D95" s="99">
        <v>0</v>
      </c>
      <c r="E95" s="177">
        <v>43539</v>
      </c>
      <c r="F95" s="177">
        <v>43728</v>
      </c>
      <c r="G95" s="58">
        <v>0.95</v>
      </c>
      <c r="H95" s="116">
        <v>1292112.23</v>
      </c>
      <c r="I95" s="99"/>
      <c r="J95" s="161">
        <f>C95-H95</f>
        <v>2836852.77</v>
      </c>
      <c r="K95" s="158"/>
      <c r="L95" s="100" t="s">
        <v>110</v>
      </c>
      <c r="M95" s="162"/>
      <c r="N95" s="163"/>
    </row>
    <row r="96" spans="1:14" ht="43.5" customHeight="1">
      <c r="A96" s="100" t="s">
        <v>100</v>
      </c>
      <c r="B96" s="100" t="s">
        <v>103</v>
      </c>
      <c r="C96" s="99">
        <v>3288000</v>
      </c>
      <c r="D96" s="99">
        <v>0</v>
      </c>
      <c r="E96" s="177">
        <v>43542</v>
      </c>
      <c r="F96" s="177">
        <v>43722</v>
      </c>
      <c r="G96" s="58">
        <v>1</v>
      </c>
      <c r="H96" s="116">
        <v>3122066.04</v>
      </c>
      <c r="I96" s="99"/>
      <c r="J96" s="161">
        <f>C96-H96</f>
        <v>165933.95999999996</v>
      </c>
      <c r="K96" s="158"/>
      <c r="L96" s="100" t="s">
        <v>16</v>
      </c>
      <c r="N96" s="84"/>
    </row>
    <row r="97" spans="1:14" ht="45" customHeight="1">
      <c r="A97" s="100" t="s">
        <v>104</v>
      </c>
      <c r="B97" s="100" t="s">
        <v>105</v>
      </c>
      <c r="C97" s="99">
        <v>13533000</v>
      </c>
      <c r="D97" s="99">
        <v>13531500</v>
      </c>
      <c r="E97" s="175">
        <v>43367</v>
      </c>
      <c r="F97" s="175">
        <v>43553</v>
      </c>
      <c r="G97" s="58">
        <v>1</v>
      </c>
      <c r="H97" s="116">
        <f>5861539.68+5670551.29</f>
        <v>11532090.969999999</v>
      </c>
      <c r="I97" s="99"/>
      <c r="J97" s="161">
        <f>C97-H97</f>
        <v>2000909.0300000012</v>
      </c>
      <c r="K97" s="10"/>
      <c r="L97" s="100" t="s">
        <v>16</v>
      </c>
      <c r="N97" s="84"/>
    </row>
    <row r="98" spans="1:14" ht="45" customHeight="1">
      <c r="A98" s="100" t="s">
        <v>113</v>
      </c>
      <c r="B98" s="100" t="s">
        <v>11</v>
      </c>
      <c r="C98" s="99">
        <v>15146609.93</v>
      </c>
      <c r="D98" s="99"/>
      <c r="E98" s="175">
        <v>43451</v>
      </c>
      <c r="F98" s="175"/>
      <c r="G98" s="58">
        <v>0.7614</v>
      </c>
      <c r="H98" s="116">
        <v>2827571.69</v>
      </c>
      <c r="I98" s="99"/>
      <c r="J98" s="161">
        <f>C98-H98</f>
        <v>12319038.24</v>
      </c>
      <c r="K98" s="10"/>
      <c r="L98" s="100" t="s">
        <v>110</v>
      </c>
      <c r="N98" s="84"/>
    </row>
    <row r="99" spans="1:14" s="5" customFormat="1" ht="12.75">
      <c r="A99" s="165" t="s">
        <v>101</v>
      </c>
      <c r="B99" s="166"/>
      <c r="C99" s="116">
        <f>SUM(C94:C98)</f>
        <v>38534474.93</v>
      </c>
      <c r="D99" s="116">
        <f>SUM(D94:D98)</f>
        <v>15969400</v>
      </c>
      <c r="E99" s="116"/>
      <c r="F99" s="116"/>
      <c r="G99" s="167"/>
      <c r="H99" s="116">
        <f>SUM(H94:H98)</f>
        <v>21073840.93</v>
      </c>
      <c r="I99" s="116">
        <f>SUM(I94:I98)</f>
        <v>0</v>
      </c>
      <c r="J99" s="116">
        <f>SUM(J94:J98)</f>
        <v>17460634</v>
      </c>
      <c r="K99" s="35"/>
      <c r="L99" s="165"/>
      <c r="N99" s="164"/>
    </row>
    <row r="100" ht="12"/>
    <row r="101" spans="1:8" ht="12">
      <c r="A101" s="80" t="s">
        <v>7</v>
      </c>
      <c r="C101" s="76"/>
      <c r="H101" s="2" t="s">
        <v>8</v>
      </c>
    </row>
    <row r="102" ht="12"/>
    <row r="103" ht="12"/>
    <row r="104" spans="1:11" ht="12">
      <c r="A104" s="179" t="s">
        <v>115</v>
      </c>
      <c r="B104" s="81"/>
      <c r="C104" s="77"/>
      <c r="D104" s="5"/>
      <c r="E104" s="5"/>
      <c r="F104" s="5"/>
      <c r="G104" s="78"/>
      <c r="H104" s="5"/>
      <c r="I104" s="5"/>
      <c r="J104" s="180" t="s">
        <v>96</v>
      </c>
      <c r="K104" s="180"/>
    </row>
    <row r="105" spans="1:11" ht="12">
      <c r="A105" s="83" t="s">
        <v>116</v>
      </c>
      <c r="B105" s="82"/>
      <c r="E105" s="1"/>
      <c r="H105" s="1"/>
      <c r="J105" s="181" t="s">
        <v>117</v>
      </c>
      <c r="K105" s="181"/>
    </row>
    <row r="106" ht="12"/>
  </sheetData>
  <sheetProtection/>
  <mergeCells count="20">
    <mergeCell ref="G8:H8"/>
    <mergeCell ref="K8:K9"/>
    <mergeCell ref="L8:L9"/>
    <mergeCell ref="A22:L22"/>
    <mergeCell ref="F24:F28"/>
    <mergeCell ref="F31:F35"/>
    <mergeCell ref="A8:A9"/>
    <mergeCell ref="B8:B9"/>
    <mergeCell ref="C8:C9"/>
    <mergeCell ref="D8:D9"/>
    <mergeCell ref="E8:E9"/>
    <mergeCell ref="F8:F9"/>
    <mergeCell ref="A10:L10"/>
    <mergeCell ref="J105:K105"/>
    <mergeCell ref="F38:F42"/>
    <mergeCell ref="F45:F48"/>
    <mergeCell ref="F51:F56"/>
    <mergeCell ref="F59:F69"/>
    <mergeCell ref="A71:H71"/>
    <mergeCell ref="J104:K104"/>
  </mergeCells>
  <printOptions/>
  <pageMargins left="0.2" right="0.2" top="1" bottom="0.5" header="0.3" footer="0.3"/>
  <pageSetup horizontalDpi="180" verticalDpi="18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2007-01-01T07:30:13Z</cp:lastPrinted>
  <dcterms:created xsi:type="dcterms:W3CDTF">2015-10-20T20:19:40Z</dcterms:created>
  <dcterms:modified xsi:type="dcterms:W3CDTF">2019-12-03T06:10:43Z</dcterms:modified>
  <cp:category/>
  <cp:version/>
  <cp:contentType/>
  <cp:contentStatus/>
</cp:coreProperties>
</file>